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workbookProtection workbookPassword="9758" lockStructure="1"/>
  <bookViews>
    <workbookView xWindow="165" yWindow="75" windowWidth="17055" windowHeight="11070" tabRatio="835"/>
  </bookViews>
  <sheets>
    <sheet name="Berechnung Nährstoffe und Lager" sheetId="7" r:id="rId1"/>
    <sheet name="Abweichende Werte" sheetId="14" r:id="rId2"/>
    <sheet name="Tiere" sheetId="12" state="hidden" r:id="rId3"/>
    <sheet name="Tiere orginal" sheetId="13" state="hidden" r:id="rId4"/>
    <sheet name="org Dünger" sheetId="11" state="hidden" r:id="rId5"/>
    <sheet name="Stroh" sheetId="8" state="hidden" r:id="rId6"/>
    <sheet name="Erläuterungen" sheetId="10" state="hidden" r:id="rId7"/>
    <sheet name="Hinweise zum Programm" sheetId="19" state="hidden" r:id="rId8"/>
    <sheet name="Niederschläge" sheetId="31" state="hidden" r:id="rId9"/>
    <sheet name="Pflanzen" sheetId="32" state="hidden" r:id="rId10"/>
    <sheet name="Erläuterung AnrechnungNachgärer" sheetId="33" r:id="rId11"/>
    <sheet name="Ablaufchema" sheetId="34" state="hidden" r:id="rId12"/>
    <sheet name="Basisdaten" sheetId="35" r:id="rId13"/>
  </sheets>
  <definedNames>
    <definedName name="_xlnm.Print_Area" localSheetId="0">'Berechnung Nährstoffe und Lager'!$A$1:$N$352</definedName>
    <definedName name="Z_DDA6E6AA_9473_49A0_A3A2_76E4959B79AF_.wvu.Cols" localSheetId="1" hidden="1">'Abweichende Werte'!$AB:$AF</definedName>
    <definedName name="Z_DDA6E6AA_9473_49A0_A3A2_76E4959B79AF_.wvu.Cols" localSheetId="0" hidden="1">'Berechnung Nährstoffe und Lager'!$P:$CI</definedName>
    <definedName name="Z_DDA6E6AA_9473_49A0_A3A2_76E4959B79AF_.wvu.PrintArea" localSheetId="0" hidden="1">'Berechnung Nährstoffe und Lager'!$A$1:$N$297</definedName>
  </definedNames>
  <calcPr calcId="145621"/>
  <customWorkbookViews>
    <customWorkbookView name="msbo - Persönliche Ansicht" guid="{BBF2F1EA-E8F4-4EE9-83EA-DB847D7BDAAF}" mergeInterval="0" personalView="1" xWindow="5" yWindow="30" windowWidth="1266" windowHeight="787" activeSheetId="1"/>
    <customWorkbookView name="Hierlmeier, Michael (LfL) - Persönliche Ansicht" guid="{DDA6E6AA-9473-49A0-A3A2-76E4959B79AF}" mergeInterval="0" personalView="1" maximized="1" windowWidth="1680" windowHeight="825" activeSheetId="7"/>
  </customWorkbookViews>
</workbook>
</file>

<file path=xl/calcChain.xml><?xml version="1.0" encoding="utf-8"?>
<calcChain xmlns="http://schemas.openxmlformats.org/spreadsheetml/2006/main">
  <c r="G179" i="7" l="1"/>
  <c r="AK286" i="7"/>
  <c r="AJ286" i="7"/>
  <c r="DO87" i="7"/>
  <c r="DO86" i="7"/>
  <c r="DO85" i="7"/>
  <c r="DO84" i="7"/>
  <c r="DO83" i="7"/>
  <c r="DL87" i="7"/>
  <c r="DL86" i="7"/>
  <c r="DL85" i="7"/>
  <c r="DL84" i="7"/>
  <c r="DL83" i="7"/>
  <c r="DY83" i="7"/>
  <c r="EA83" i="7"/>
  <c r="J85" i="7"/>
  <c r="DU85" i="7" s="1"/>
  <c r="EH85" i="7" s="1"/>
  <c r="F102" i="7"/>
  <c r="E229" i="7"/>
  <c r="E228" i="7"/>
  <c r="AL305" i="7"/>
  <c r="AL306" i="7"/>
  <c r="AL307" i="7"/>
  <c r="AL308" i="7" s="1"/>
  <c r="AL309" i="7" s="1"/>
  <c r="AL310" i="7" s="1"/>
  <c r="AL311" i="7"/>
  <c r="AL312" i="7" s="1"/>
  <c r="AL313" i="7" s="1"/>
  <c r="AL314" i="7" s="1"/>
  <c r="AL315" i="7" s="1"/>
  <c r="AL316" i="7" s="1"/>
  <c r="AL317" i="7" s="1"/>
  <c r="AL318" i="7" s="1"/>
  <c r="AL319" i="7" s="1"/>
  <c r="AL320" i="7" s="1"/>
  <c r="AL321" i="7" s="1"/>
  <c r="AL322" i="7" s="1"/>
  <c r="AL323" i="7" s="1"/>
  <c r="AL324" i="7" s="1"/>
  <c r="AL325" i="7" s="1"/>
  <c r="AL326" i="7" s="1"/>
  <c r="AL327" i="7" s="1"/>
  <c r="AL328" i="7" s="1"/>
  <c r="AL329" i="7" s="1"/>
  <c r="AL330" i="7" s="1"/>
  <c r="AL331" i="7" s="1"/>
  <c r="AL332" i="7" s="1"/>
  <c r="AL333" i="7" s="1"/>
  <c r="AL334" i="7" s="1"/>
  <c r="T46" i="7"/>
  <c r="AB79" i="12"/>
  <c r="AB78" i="12"/>
  <c r="AB77" i="12"/>
  <c r="AB76" i="12"/>
  <c r="AB75" i="12"/>
  <c r="AB74" i="12"/>
  <c r="AB73" i="12"/>
  <c r="AB72" i="12"/>
  <c r="AB71" i="12"/>
  <c r="AB70" i="12"/>
  <c r="AB69" i="12"/>
  <c r="AB68" i="12"/>
  <c r="AB67" i="12"/>
  <c r="AB66" i="12"/>
  <c r="AB65" i="12"/>
  <c r="AB64" i="12"/>
  <c r="AB63" i="12"/>
  <c r="AB62" i="12"/>
  <c r="AB61" i="12"/>
  <c r="AB60" i="12"/>
  <c r="AB59" i="12"/>
  <c r="AB58" i="12"/>
  <c r="AB57" i="12"/>
  <c r="AB56" i="12"/>
  <c r="AB55" i="12"/>
  <c r="AB54" i="12"/>
  <c r="AB53" i="12"/>
  <c r="AB52" i="12"/>
  <c r="AB51" i="12"/>
  <c r="AB50" i="12"/>
  <c r="AB49" i="12"/>
  <c r="AB48" i="12"/>
  <c r="AB47" i="12"/>
  <c r="AB46" i="12"/>
  <c r="AB45" i="12"/>
  <c r="AB44" i="12"/>
  <c r="AB43" i="12"/>
  <c r="AB42" i="12"/>
  <c r="AB41" i="12"/>
  <c r="AB40" i="12"/>
  <c r="AB39" i="12"/>
  <c r="AB38" i="12"/>
  <c r="AB37" i="12"/>
  <c r="AB36" i="12"/>
  <c r="AB35" i="12"/>
  <c r="AB34" i="12"/>
  <c r="AB33" i="12"/>
  <c r="AB32" i="12"/>
  <c r="AB31" i="12"/>
  <c r="BO152" i="7"/>
  <c r="BI155" i="7"/>
  <c r="BJ155" i="7"/>
  <c r="BI154" i="7"/>
  <c r="BI153" i="7"/>
  <c r="BJ153" i="7"/>
  <c r="BI152" i="7"/>
  <c r="BJ152" i="7" s="1"/>
  <c r="BI151" i="7"/>
  <c r="BJ151" i="7" s="1"/>
  <c r="BI150" i="7"/>
  <c r="BI149" i="7"/>
  <c r="BJ149" i="7" s="1"/>
  <c r="BI148" i="7"/>
  <c r="BI147" i="7"/>
  <c r="BJ147" i="7"/>
  <c r="BI146" i="7"/>
  <c r="BI145" i="7"/>
  <c r="BJ145" i="7"/>
  <c r="BI144" i="7"/>
  <c r="BJ144" i="7" s="1"/>
  <c r="BI143" i="7"/>
  <c r="BJ143" i="7" s="1"/>
  <c r="BI142" i="7"/>
  <c r="BI141" i="7"/>
  <c r="BJ141" i="7" s="1"/>
  <c r="BI140" i="7"/>
  <c r="BI139" i="7"/>
  <c r="BJ139" i="7"/>
  <c r="BI138" i="7"/>
  <c r="BJ138" i="7" s="1"/>
  <c r="BI137" i="7"/>
  <c r="BJ137" i="7"/>
  <c r="BJ154" i="7"/>
  <c r="BJ150" i="7"/>
  <c r="BJ148" i="7"/>
  <c r="BJ146" i="7"/>
  <c r="BJ142" i="7"/>
  <c r="BJ140" i="7"/>
  <c r="EA82" i="7"/>
  <c r="DY82" i="7"/>
  <c r="DQ87" i="7"/>
  <c r="DP87" i="7"/>
  <c r="DN87" i="7"/>
  <c r="DM87" i="7"/>
  <c r="DQ86" i="7"/>
  <c r="DP86" i="7"/>
  <c r="DN86" i="7"/>
  <c r="DM86" i="7"/>
  <c r="DQ85" i="7"/>
  <c r="DP85" i="7"/>
  <c r="DN85" i="7"/>
  <c r="DM85" i="7"/>
  <c r="DQ84" i="7"/>
  <c r="DP84" i="7"/>
  <c r="DN84" i="7"/>
  <c r="DM84" i="7"/>
  <c r="CD87" i="7"/>
  <c r="CC87" i="7"/>
  <c r="CB87" i="7"/>
  <c r="CD86" i="7"/>
  <c r="CC86" i="7"/>
  <c r="CB86" i="7"/>
  <c r="CD85" i="7"/>
  <c r="CC85" i="7"/>
  <c r="CB85" i="7"/>
  <c r="CD84" i="7"/>
  <c r="CC84" i="7"/>
  <c r="CB84" i="7"/>
  <c r="CD83" i="7"/>
  <c r="CC83" i="7"/>
  <c r="CB83" i="7"/>
  <c r="CA87" i="7"/>
  <c r="CA86" i="7"/>
  <c r="CA85" i="7"/>
  <c r="CA84" i="7"/>
  <c r="CA83" i="7"/>
  <c r="BX87" i="7"/>
  <c r="BW87" i="7"/>
  <c r="BV87" i="7"/>
  <c r="BX86" i="7"/>
  <c r="BW86" i="7"/>
  <c r="BV86" i="7"/>
  <c r="BX85" i="7"/>
  <c r="BW85" i="7"/>
  <c r="BV85" i="7"/>
  <c r="BG85" i="7"/>
  <c r="BX84" i="7"/>
  <c r="BW84" i="7"/>
  <c r="BV84" i="7"/>
  <c r="BX83" i="7"/>
  <c r="BW83" i="7"/>
  <c r="BV83" i="7"/>
  <c r="BU87" i="7"/>
  <c r="BT87" i="7"/>
  <c r="BU86" i="7"/>
  <c r="BT86" i="7"/>
  <c r="BU85" i="7"/>
  <c r="BT85" i="7"/>
  <c r="Z85" i="7" s="1"/>
  <c r="BU84" i="7"/>
  <c r="BT84" i="7"/>
  <c r="BU83" i="7"/>
  <c r="BT83" i="7"/>
  <c r="BS87" i="7"/>
  <c r="BR87" i="7"/>
  <c r="BQ87" i="7"/>
  <c r="BS86" i="7"/>
  <c r="BR86" i="7"/>
  <c r="BQ86" i="7"/>
  <c r="BS85" i="7"/>
  <c r="BR85" i="7"/>
  <c r="CU85" i="7" s="1"/>
  <c r="BQ85" i="7"/>
  <c r="BS84" i="7"/>
  <c r="BR84" i="7"/>
  <c r="BQ84" i="7"/>
  <c r="BS83" i="7"/>
  <c r="CV83" i="7"/>
  <c r="BR83" i="7"/>
  <c r="BQ83" i="7"/>
  <c r="BN87" i="7"/>
  <c r="BN86" i="7"/>
  <c r="BN85" i="7"/>
  <c r="BN84" i="7"/>
  <c r="BP84" i="7"/>
  <c r="BN83" i="7"/>
  <c r="BK87" i="7"/>
  <c r="BL87" i="7" s="1"/>
  <c r="CM87" i="7" s="1"/>
  <c r="X87" i="7"/>
  <c r="Y87" i="7" s="1"/>
  <c r="BK86" i="7"/>
  <c r="BL86" i="7"/>
  <c r="BK85" i="7"/>
  <c r="BL85" i="7" s="1"/>
  <c r="BK84" i="7"/>
  <c r="BL84" i="7"/>
  <c r="CM84" i="7"/>
  <c r="BK83" i="7"/>
  <c r="BL83" i="7" s="1"/>
  <c r="CM83" i="7" s="1"/>
  <c r="W83" i="7"/>
  <c r="AR87" i="7"/>
  <c r="AR86" i="7"/>
  <c r="AR85" i="7"/>
  <c r="AR84" i="7"/>
  <c r="AR83" i="7"/>
  <c r="AK87" i="7"/>
  <c r="AJ87" i="7"/>
  <c r="AK86" i="7"/>
  <c r="AJ86" i="7"/>
  <c r="AK85" i="7"/>
  <c r="AJ85" i="7"/>
  <c r="AK84" i="7"/>
  <c r="AJ84" i="7"/>
  <c r="AK83" i="7"/>
  <c r="AJ83" i="7"/>
  <c r="DQ83" i="7"/>
  <c r="DP83" i="7"/>
  <c r="DN83" i="7"/>
  <c r="DM83" i="7"/>
  <c r="AF11" i="14"/>
  <c r="DS87" i="7" s="1"/>
  <c r="AE11" i="14"/>
  <c r="DR87" i="7"/>
  <c r="AC11" i="14"/>
  <c r="AD11" i="14" s="1"/>
  <c r="A87" i="7" s="1"/>
  <c r="AF10" i="14"/>
  <c r="DS86" i="7" s="1"/>
  <c r="AE10" i="14"/>
  <c r="DR86" i="7" s="1"/>
  <c r="AC10" i="14"/>
  <c r="AD10" i="14" s="1"/>
  <c r="A86" i="7" s="1"/>
  <c r="DE82" i="7"/>
  <c r="DD82" i="7"/>
  <c r="CY82" i="7"/>
  <c r="CX82" i="7"/>
  <c r="G15" i="7"/>
  <c r="K128" i="7"/>
  <c r="M125" i="7"/>
  <c r="W125" i="7"/>
  <c r="K124" i="7"/>
  <c r="V124" i="7"/>
  <c r="K122" i="7"/>
  <c r="V122" i="7"/>
  <c r="AO122" i="7" s="1"/>
  <c r="AT122" i="7" s="1"/>
  <c r="M121" i="7"/>
  <c r="M117" i="7"/>
  <c r="K116" i="7"/>
  <c r="Q334" i="7"/>
  <c r="Q333" i="7"/>
  <c r="T333" i="7"/>
  <c r="Z333" i="7" s="1"/>
  <c r="Q332" i="7"/>
  <c r="Q331" i="7"/>
  <c r="R331" i="7"/>
  <c r="X331" i="7" s="1"/>
  <c r="U331" i="7"/>
  <c r="AA331" i="7" s="1"/>
  <c r="Q330" i="7"/>
  <c r="Q329" i="7"/>
  <c r="T329" i="7"/>
  <c r="Z329" i="7" s="1"/>
  <c r="Q328" i="7"/>
  <c r="U328" i="7" s="1"/>
  <c r="AA328" i="7" s="1"/>
  <c r="Q327" i="7"/>
  <c r="R327" i="7"/>
  <c r="X327" i="7" s="1"/>
  <c r="U327" i="7"/>
  <c r="AA327" i="7" s="1"/>
  <c r="Q326" i="7"/>
  <c r="Q325" i="7"/>
  <c r="V325" i="7"/>
  <c r="AB325" i="7" s="1"/>
  <c r="Q324" i="7"/>
  <c r="Q323" i="7"/>
  <c r="S323" i="7"/>
  <c r="Y323" i="7" s="1"/>
  <c r="Q322" i="7"/>
  <c r="Q321" i="7"/>
  <c r="V321" i="7"/>
  <c r="AB321" i="7" s="1"/>
  <c r="Q320" i="7"/>
  <c r="S320" i="7" s="1"/>
  <c r="Y320" i="7" s="1"/>
  <c r="Q319" i="7"/>
  <c r="R319" i="7"/>
  <c r="X319" i="7" s="1"/>
  <c r="T319" i="7"/>
  <c r="Z319" i="7" s="1"/>
  <c r="Q318" i="7"/>
  <c r="Q317" i="7"/>
  <c r="V317" i="7"/>
  <c r="AB317" i="7" s="1"/>
  <c r="Q316" i="7"/>
  <c r="Q315" i="7"/>
  <c r="S315" i="7"/>
  <c r="Y315" i="7" s="1"/>
  <c r="Q314" i="7"/>
  <c r="Q313" i="7"/>
  <c r="V313" i="7"/>
  <c r="AB313" i="7" s="1"/>
  <c r="Q312" i="7"/>
  <c r="U312" i="7" s="1"/>
  <c r="AA312" i="7" s="1"/>
  <c r="Q311" i="7"/>
  <c r="R311" i="7"/>
  <c r="X311" i="7" s="1"/>
  <c r="Q310" i="7"/>
  <c r="T310" i="7" s="1"/>
  <c r="Z310" i="7" s="1"/>
  <c r="Q309" i="7"/>
  <c r="V309" i="7"/>
  <c r="AB309" i="7" s="1"/>
  <c r="Q308" i="7"/>
  <c r="T308" i="7" s="1"/>
  <c r="Z308" i="7" s="1"/>
  <c r="F335" i="7"/>
  <c r="BM155" i="7"/>
  <c r="BL155" i="7"/>
  <c r="BN155" i="7"/>
  <c r="AD155" i="7"/>
  <c r="AE155" i="7"/>
  <c r="Y155" i="7"/>
  <c r="Z155" i="7"/>
  <c r="W155" i="7"/>
  <c r="AP155" i="7"/>
  <c r="V155" i="7"/>
  <c r="AO155" i="7"/>
  <c r="BH155" i="7"/>
  <c r="U155" i="7"/>
  <c r="S155" i="7"/>
  <c r="AL155" i="7"/>
  <c r="Q155" i="7"/>
  <c r="R155" i="7"/>
  <c r="BM154" i="7"/>
  <c r="BL154" i="7"/>
  <c r="BN154" i="7" s="1"/>
  <c r="BO154" i="7" s="1"/>
  <c r="BH154" i="7"/>
  <c r="BG154" i="7"/>
  <c r="AD154" i="7"/>
  <c r="AE154" i="7" s="1"/>
  <c r="Y154" i="7"/>
  <c r="Z154" i="7"/>
  <c r="W154" i="7"/>
  <c r="AP154" i="7" s="1"/>
  <c r="V154" i="7"/>
  <c r="AO154" i="7" s="1"/>
  <c r="U154" i="7"/>
  <c r="S154" i="7"/>
  <c r="AL154" i="7"/>
  <c r="Q154" i="7"/>
  <c r="R154" i="7"/>
  <c r="BM153" i="7"/>
  <c r="BL153" i="7"/>
  <c r="BN153" i="7" s="1"/>
  <c r="BH153" i="7"/>
  <c r="BG153" i="7"/>
  <c r="AD153" i="7"/>
  <c r="AE153" i="7" s="1"/>
  <c r="Y153" i="7"/>
  <c r="Z153" i="7"/>
  <c r="W153" i="7"/>
  <c r="AP153" i="7" s="1"/>
  <c r="V153" i="7"/>
  <c r="AO153" i="7" s="1"/>
  <c r="U153" i="7"/>
  <c r="AN153" i="7" s="1"/>
  <c r="S153" i="7"/>
  <c r="AL153" i="7" s="1"/>
  <c r="Q153" i="7"/>
  <c r="R153" i="7" s="1"/>
  <c r="BM152" i="7"/>
  <c r="BL152" i="7"/>
  <c r="BN152" i="7"/>
  <c r="BH152" i="7"/>
  <c r="BG152" i="7"/>
  <c r="AD152" i="7"/>
  <c r="AE152" i="7"/>
  <c r="Y152" i="7"/>
  <c r="Z152" i="7"/>
  <c r="W152" i="7"/>
  <c r="AP152" i="7"/>
  <c r="V152" i="7"/>
  <c r="AO152" i="7"/>
  <c r="U152" i="7"/>
  <c r="AN152" i="7"/>
  <c r="S152" i="7"/>
  <c r="T152" i="7"/>
  <c r="AM152" i="7" s="1"/>
  <c r="Q152" i="7"/>
  <c r="R152" i="7" s="1"/>
  <c r="BM151" i="7"/>
  <c r="BL151" i="7"/>
  <c r="BN151" i="7"/>
  <c r="BO151" i="7" s="1"/>
  <c r="BH151" i="7"/>
  <c r="BG151" i="7"/>
  <c r="AD151" i="7"/>
  <c r="AE151" i="7"/>
  <c r="Y151" i="7"/>
  <c r="Z151" i="7"/>
  <c r="AB151" i="7" s="1"/>
  <c r="W151" i="7"/>
  <c r="AP151" i="7" s="1"/>
  <c r="V151" i="7"/>
  <c r="U151" i="7"/>
  <c r="AN151" i="7"/>
  <c r="S151" i="7"/>
  <c r="AL151" i="7"/>
  <c r="Q151" i="7"/>
  <c r="R151" i="7"/>
  <c r="BM150" i="7"/>
  <c r="BL150" i="7"/>
  <c r="BN150" i="7" s="1"/>
  <c r="BO150" i="7" s="1"/>
  <c r="BH150" i="7"/>
  <c r="BG150" i="7"/>
  <c r="AD150" i="7"/>
  <c r="AE150" i="7" s="1"/>
  <c r="Y150" i="7"/>
  <c r="Z150" i="7"/>
  <c r="W150" i="7"/>
  <c r="AP150" i="7" s="1"/>
  <c r="V150" i="7"/>
  <c r="AO150" i="7" s="1"/>
  <c r="U150" i="7"/>
  <c r="AN150" i="7" s="1"/>
  <c r="AS150" i="7" s="1"/>
  <c r="S150" i="7"/>
  <c r="AL150" i="7"/>
  <c r="Q150" i="7"/>
  <c r="R150" i="7"/>
  <c r="BM149" i="7"/>
  <c r="BL149" i="7"/>
  <c r="BN149" i="7" s="1"/>
  <c r="BO149" i="7" s="1"/>
  <c r="BH149" i="7"/>
  <c r="BG149" i="7"/>
  <c r="AD149" i="7"/>
  <c r="AE149" i="7" s="1"/>
  <c r="Y149" i="7"/>
  <c r="Z149" i="7"/>
  <c r="W149" i="7"/>
  <c r="AP149" i="7" s="1"/>
  <c r="V149" i="7"/>
  <c r="U149" i="7"/>
  <c r="AN149" i="7"/>
  <c r="S149" i="7"/>
  <c r="AL149" i="7"/>
  <c r="Q149" i="7"/>
  <c r="R149" i="7"/>
  <c r="BM148" i="7"/>
  <c r="BL148" i="7"/>
  <c r="BN148" i="7" s="1"/>
  <c r="BO148" i="7" s="1"/>
  <c r="BH148" i="7"/>
  <c r="BG148" i="7"/>
  <c r="AD148" i="7"/>
  <c r="AE148" i="7" s="1"/>
  <c r="Y148" i="7"/>
  <c r="Z148" i="7"/>
  <c r="W148" i="7"/>
  <c r="AP148" i="7" s="1"/>
  <c r="V148" i="7"/>
  <c r="AO148" i="7" s="1"/>
  <c r="U148" i="7"/>
  <c r="S148" i="7"/>
  <c r="AL148" i="7" s="1"/>
  <c r="AQ148" i="7"/>
  <c r="Q148" i="7"/>
  <c r="R148" i="7" s="1"/>
  <c r="BM147" i="7"/>
  <c r="BL147" i="7"/>
  <c r="BN147" i="7"/>
  <c r="BO147" i="7" s="1"/>
  <c r="BH147" i="7"/>
  <c r="BG147" i="7"/>
  <c r="AD147" i="7"/>
  <c r="AE147" i="7"/>
  <c r="Z147" i="7"/>
  <c r="AB147" i="7"/>
  <c r="Y147" i="7"/>
  <c r="W147" i="7"/>
  <c r="AP147" i="7" s="1"/>
  <c r="V147" i="7"/>
  <c r="AO147" i="7" s="1"/>
  <c r="U147" i="7"/>
  <c r="AN147" i="7" s="1"/>
  <c r="S147" i="7"/>
  <c r="AL147" i="7" s="1"/>
  <c r="Q147" i="7"/>
  <c r="R147" i="7" s="1"/>
  <c r="BM146" i="7"/>
  <c r="BL146" i="7"/>
  <c r="BN146" i="7"/>
  <c r="BO146" i="7" s="1"/>
  <c r="BH146" i="7"/>
  <c r="BG146" i="7"/>
  <c r="AD146" i="7"/>
  <c r="AE146" i="7" s="1"/>
  <c r="Y146" i="7"/>
  <c r="Z146" i="7"/>
  <c r="W146" i="7"/>
  <c r="AP146" i="7"/>
  <c r="V146" i="7"/>
  <c r="AO146" i="7"/>
  <c r="U146" i="7"/>
  <c r="AN146" i="7"/>
  <c r="AS146" i="7" s="1"/>
  <c r="S146" i="7"/>
  <c r="AL146" i="7" s="1"/>
  <c r="Q146" i="7"/>
  <c r="R146" i="7" s="1"/>
  <c r="BM145" i="7"/>
  <c r="BL145" i="7"/>
  <c r="BN145" i="7" s="1"/>
  <c r="BH145" i="7"/>
  <c r="BG145" i="7"/>
  <c r="AD145" i="7"/>
  <c r="AE145" i="7"/>
  <c r="Y145" i="7"/>
  <c r="Z145" i="7"/>
  <c r="W145" i="7"/>
  <c r="AP145" i="7"/>
  <c r="V145" i="7"/>
  <c r="U145" i="7"/>
  <c r="AN145" i="7" s="1"/>
  <c r="S145" i="7"/>
  <c r="AL145" i="7" s="1"/>
  <c r="Q145" i="7"/>
  <c r="R145" i="7" s="1"/>
  <c r="BM144" i="7"/>
  <c r="BL144" i="7"/>
  <c r="BN144" i="7"/>
  <c r="BO144" i="7" s="1"/>
  <c r="BH144" i="7"/>
  <c r="BG144" i="7"/>
  <c r="AD144" i="7"/>
  <c r="AE144" i="7"/>
  <c r="Y144" i="7"/>
  <c r="Z144" i="7"/>
  <c r="W144" i="7"/>
  <c r="AU144" i="7" s="1"/>
  <c r="AP144" i="7"/>
  <c r="V144" i="7"/>
  <c r="AO144" i="7" s="1"/>
  <c r="U144" i="7"/>
  <c r="AN144" i="7" s="1"/>
  <c r="S144" i="7"/>
  <c r="AL144" i="7" s="1"/>
  <c r="AQ144" i="7" s="1"/>
  <c r="Q144" i="7"/>
  <c r="R144" i="7"/>
  <c r="BM143" i="7"/>
  <c r="BL143" i="7"/>
  <c r="BN143" i="7" s="1"/>
  <c r="BO143" i="7" s="1"/>
  <c r="BH143" i="7"/>
  <c r="BG143" i="7"/>
  <c r="AD143" i="7"/>
  <c r="AE143" i="7" s="1"/>
  <c r="Z143" i="7"/>
  <c r="AA143" i="7" s="1"/>
  <c r="Y143" i="7"/>
  <c r="W143" i="7"/>
  <c r="AP143" i="7"/>
  <c r="V143" i="7"/>
  <c r="AO143" i="7"/>
  <c r="U143" i="7"/>
  <c r="AN143" i="7"/>
  <c r="S143" i="7"/>
  <c r="AL143" i="7"/>
  <c r="Q143" i="7"/>
  <c r="R143" i="7"/>
  <c r="BM142" i="7"/>
  <c r="BL142" i="7"/>
  <c r="BN142" i="7" s="1"/>
  <c r="BH142" i="7"/>
  <c r="BG142" i="7"/>
  <c r="AD142" i="7"/>
  <c r="AE142" i="7" s="1"/>
  <c r="Y142" i="7"/>
  <c r="Z142" i="7"/>
  <c r="AB142" i="7"/>
  <c r="W142" i="7"/>
  <c r="AP142" i="7"/>
  <c r="V142" i="7"/>
  <c r="U142" i="7"/>
  <c r="AN142" i="7" s="1"/>
  <c r="S142" i="7"/>
  <c r="AL142" i="7" s="1"/>
  <c r="Q142" i="7"/>
  <c r="R142" i="7" s="1"/>
  <c r="BM141" i="7"/>
  <c r="BL141" i="7"/>
  <c r="BN141" i="7"/>
  <c r="BO141" i="7" s="1"/>
  <c r="BH141" i="7"/>
  <c r="BG141" i="7"/>
  <c r="AD141" i="7"/>
  <c r="AE141" i="7"/>
  <c r="Y141" i="7"/>
  <c r="Z141" i="7"/>
  <c r="AA141" i="7" s="1"/>
  <c r="W141" i="7"/>
  <c r="V141" i="7"/>
  <c r="AO141" i="7"/>
  <c r="AT141" i="7" s="1"/>
  <c r="U141" i="7"/>
  <c r="AN141" i="7" s="1"/>
  <c r="S141" i="7"/>
  <c r="AL141" i="7" s="1"/>
  <c r="Q141" i="7"/>
  <c r="R141" i="7" s="1"/>
  <c r="BM140" i="7"/>
  <c r="BL140" i="7"/>
  <c r="BN140" i="7"/>
  <c r="BO140" i="7" s="1"/>
  <c r="BH140" i="7"/>
  <c r="BG140" i="7"/>
  <c r="AD140" i="7"/>
  <c r="AE140" i="7"/>
  <c r="Y140" i="7"/>
  <c r="Z140" i="7"/>
  <c r="W140" i="7"/>
  <c r="AP140" i="7"/>
  <c r="V140" i="7"/>
  <c r="AO140" i="7"/>
  <c r="U140" i="7"/>
  <c r="S140" i="7"/>
  <c r="Q140" i="7"/>
  <c r="R140" i="7"/>
  <c r="BM139" i="7"/>
  <c r="BL139" i="7"/>
  <c r="BN139" i="7" s="1"/>
  <c r="BO139" i="7" s="1"/>
  <c r="BH139" i="7"/>
  <c r="BG139" i="7"/>
  <c r="AD139" i="7"/>
  <c r="AE139" i="7" s="1"/>
  <c r="AG139" i="7" s="1"/>
  <c r="AF139" i="7" s="1"/>
  <c r="AH139" i="7" s="1"/>
  <c r="Z139" i="7"/>
  <c r="AB139" i="7" s="1"/>
  <c r="Y139" i="7"/>
  <c r="W139" i="7"/>
  <c r="AP139" i="7"/>
  <c r="V139" i="7"/>
  <c r="AO139" i="7"/>
  <c r="U139" i="7"/>
  <c r="AN139" i="7"/>
  <c r="S139" i="7"/>
  <c r="Q139" i="7"/>
  <c r="R139" i="7" s="1"/>
  <c r="BM138" i="7"/>
  <c r="BL138" i="7"/>
  <c r="BN138" i="7"/>
  <c r="BO138" i="7" s="1"/>
  <c r="BH138" i="7"/>
  <c r="BG138" i="7"/>
  <c r="AD138" i="7"/>
  <c r="AE138" i="7"/>
  <c r="Y138" i="7"/>
  <c r="Z138" i="7"/>
  <c r="W138" i="7"/>
  <c r="AP138" i="7"/>
  <c r="V138" i="7"/>
  <c r="AO138" i="7"/>
  <c r="U138" i="7"/>
  <c r="AN138" i="7"/>
  <c r="S138" i="7"/>
  <c r="AL138" i="7"/>
  <c r="AQ138" i="7" s="1"/>
  <c r="Q138" i="7"/>
  <c r="R138" i="7" s="1"/>
  <c r="D156" i="7"/>
  <c r="BN130" i="7"/>
  <c r="BI130" i="7"/>
  <c r="BJ130" i="7" s="1"/>
  <c r="BE130" i="7"/>
  <c r="I130" i="7" s="1"/>
  <c r="AA130" i="7" s="1"/>
  <c r="BD130" i="7"/>
  <c r="BC130" i="7"/>
  <c r="G130" i="7"/>
  <c r="BB130" i="7"/>
  <c r="BA130" i="7"/>
  <c r="AZ130" i="7"/>
  <c r="AY130" i="7"/>
  <c r="F130" i="7" s="1"/>
  <c r="S130" i="7"/>
  <c r="AW130" i="7"/>
  <c r="BN129" i="7"/>
  <c r="BI129" i="7"/>
  <c r="BJ129" i="7"/>
  <c r="BE129" i="7"/>
  <c r="I129" i="7"/>
  <c r="BD129" i="7"/>
  <c r="H129" i="7"/>
  <c r="BC129" i="7"/>
  <c r="G129" i="7"/>
  <c r="BB129" i="7"/>
  <c r="BA129" i="7"/>
  <c r="AZ129" i="7"/>
  <c r="AY129" i="7"/>
  <c r="F129" i="7" s="1"/>
  <c r="S129" i="7" s="1"/>
  <c r="AW129" i="7"/>
  <c r="BN128" i="7"/>
  <c r="BO128" i="7" s="1"/>
  <c r="BI128" i="7"/>
  <c r="BJ128" i="7"/>
  <c r="BE128" i="7"/>
  <c r="I128" i="7"/>
  <c r="BD128" i="7"/>
  <c r="H128" i="7" s="1"/>
  <c r="AD128" i="7" s="1"/>
  <c r="AE128" i="7" s="1"/>
  <c r="BC128" i="7"/>
  <c r="G128" i="7" s="1"/>
  <c r="BB128" i="7"/>
  <c r="BA128" i="7"/>
  <c r="AZ128" i="7"/>
  <c r="AY128" i="7"/>
  <c r="F128" i="7" s="1"/>
  <c r="S128" i="7" s="1"/>
  <c r="J128" i="7"/>
  <c r="U128" i="7" s="1"/>
  <c r="AN128" i="7" s="1"/>
  <c r="AW128" i="7"/>
  <c r="BF128" i="7" s="1"/>
  <c r="BN127" i="7"/>
  <c r="BI127" i="7"/>
  <c r="BJ127" i="7"/>
  <c r="BE127" i="7"/>
  <c r="I127" i="7"/>
  <c r="BD127" i="7"/>
  <c r="BC127" i="7"/>
  <c r="G127" i="7" s="1"/>
  <c r="BB127" i="7"/>
  <c r="BA127" i="7"/>
  <c r="AZ127" i="7"/>
  <c r="AY127" i="7"/>
  <c r="F127" i="7"/>
  <c r="S127" i="7" s="1"/>
  <c r="M127" i="7"/>
  <c r="AW127" i="7"/>
  <c r="BN126" i="7"/>
  <c r="BI126" i="7"/>
  <c r="BJ126" i="7" s="1"/>
  <c r="BE126" i="7"/>
  <c r="I126" i="7"/>
  <c r="BD126" i="7"/>
  <c r="H126" i="7" s="1"/>
  <c r="BC126" i="7"/>
  <c r="G126" i="7"/>
  <c r="BB126" i="7"/>
  <c r="BA126" i="7"/>
  <c r="AZ126" i="7"/>
  <c r="AY126" i="7"/>
  <c r="F126" i="7" s="1"/>
  <c r="M126" i="7"/>
  <c r="W126" i="7" s="1"/>
  <c r="AW126" i="7"/>
  <c r="BH126" i="7" s="1"/>
  <c r="BN125" i="7"/>
  <c r="BI125" i="7"/>
  <c r="BJ125" i="7" s="1"/>
  <c r="BE125" i="7"/>
  <c r="I125" i="7"/>
  <c r="BD125" i="7"/>
  <c r="H125" i="7" s="1"/>
  <c r="BC125" i="7"/>
  <c r="G125" i="7" s="1"/>
  <c r="BB125" i="7"/>
  <c r="BA125" i="7"/>
  <c r="AZ125" i="7"/>
  <c r="AY125" i="7"/>
  <c r="F125" i="7"/>
  <c r="S125" i="7" s="1"/>
  <c r="AW125" i="7"/>
  <c r="BN124" i="7"/>
  <c r="BI124" i="7"/>
  <c r="BJ124" i="7" s="1"/>
  <c r="BE124" i="7"/>
  <c r="I124" i="7"/>
  <c r="BD124" i="7"/>
  <c r="H124" i="7" s="1"/>
  <c r="BC124" i="7"/>
  <c r="G124" i="7"/>
  <c r="BB124" i="7"/>
  <c r="BA124" i="7"/>
  <c r="AZ124" i="7"/>
  <c r="AY124" i="7"/>
  <c r="F124" i="7" s="1"/>
  <c r="Y124" i="7" s="1"/>
  <c r="J124" i="7"/>
  <c r="U124" i="7" s="1"/>
  <c r="AN124" i="7" s="1"/>
  <c r="AW124" i="7"/>
  <c r="BF124" i="7" s="1"/>
  <c r="BN123" i="7"/>
  <c r="BI123" i="7"/>
  <c r="BJ123" i="7"/>
  <c r="BE123" i="7"/>
  <c r="I123" i="7" s="1"/>
  <c r="BD123" i="7"/>
  <c r="H123" i="7"/>
  <c r="AD123" i="7" s="1"/>
  <c r="AE123" i="7" s="1"/>
  <c r="BC123" i="7"/>
  <c r="G123" i="7"/>
  <c r="BB123" i="7"/>
  <c r="BA123" i="7"/>
  <c r="AZ123" i="7"/>
  <c r="AY123" i="7"/>
  <c r="F123" i="7" s="1"/>
  <c r="M123" i="7"/>
  <c r="W123" i="7" s="1"/>
  <c r="AW123" i="7"/>
  <c r="BH123" i="7" s="1"/>
  <c r="BN122" i="7"/>
  <c r="BI122" i="7"/>
  <c r="BJ122" i="7"/>
  <c r="BE122" i="7"/>
  <c r="I122" i="7" s="1"/>
  <c r="BD122" i="7"/>
  <c r="H122" i="7"/>
  <c r="BC122" i="7"/>
  <c r="G122" i="7" s="1"/>
  <c r="BB122" i="7"/>
  <c r="BA122" i="7"/>
  <c r="AZ122" i="7"/>
  <c r="AY122" i="7"/>
  <c r="F122" i="7"/>
  <c r="M122" i="7"/>
  <c r="W122" i="7" s="1"/>
  <c r="AP122" i="7" s="1"/>
  <c r="AW122" i="7"/>
  <c r="BG122" i="7" s="1"/>
  <c r="BN121" i="7"/>
  <c r="BI121" i="7"/>
  <c r="BJ121" i="7"/>
  <c r="BE121" i="7"/>
  <c r="I121" i="7"/>
  <c r="BD121" i="7"/>
  <c r="H121" i="7"/>
  <c r="BC121" i="7"/>
  <c r="G121" i="7"/>
  <c r="BB121" i="7"/>
  <c r="BA121" i="7"/>
  <c r="AZ121" i="7"/>
  <c r="AY121" i="7"/>
  <c r="F121" i="7" s="1"/>
  <c r="K121" i="7"/>
  <c r="V121" i="7" s="1"/>
  <c r="AW121" i="7"/>
  <c r="BN120" i="7"/>
  <c r="BI120" i="7"/>
  <c r="BJ120" i="7"/>
  <c r="BE120" i="7"/>
  <c r="I120" i="7" s="1"/>
  <c r="BD120" i="7"/>
  <c r="H120" i="7"/>
  <c r="BC120" i="7"/>
  <c r="G120" i="7" s="1"/>
  <c r="BB120" i="7"/>
  <c r="BA120" i="7"/>
  <c r="AZ120" i="7"/>
  <c r="AY120" i="7"/>
  <c r="F120" i="7"/>
  <c r="J120" i="7"/>
  <c r="U120" i="7" s="1"/>
  <c r="AW120" i="7"/>
  <c r="BN119" i="7"/>
  <c r="BI119" i="7"/>
  <c r="BJ119" i="7" s="1"/>
  <c r="BE119" i="7"/>
  <c r="I119" i="7"/>
  <c r="BD119" i="7"/>
  <c r="H119" i="7" s="1"/>
  <c r="AD119" i="7" s="1"/>
  <c r="AE119" i="7"/>
  <c r="BC119" i="7"/>
  <c r="G119" i="7" s="1"/>
  <c r="BB119" i="7"/>
  <c r="BA119" i="7"/>
  <c r="AZ119" i="7"/>
  <c r="AY119" i="7"/>
  <c r="F119" i="7" s="1"/>
  <c r="AW119" i="7"/>
  <c r="BF119" i="7" s="1"/>
  <c r="BN118" i="7"/>
  <c r="BI118" i="7"/>
  <c r="BJ118" i="7"/>
  <c r="BE118" i="7"/>
  <c r="I118" i="7" s="1"/>
  <c r="BD118" i="7"/>
  <c r="H118" i="7"/>
  <c r="AD118" i="7" s="1"/>
  <c r="AE118" i="7" s="1"/>
  <c r="BC118" i="7"/>
  <c r="G118" i="7"/>
  <c r="BB118" i="7"/>
  <c r="BA118" i="7"/>
  <c r="AZ118" i="7"/>
  <c r="AY118" i="7"/>
  <c r="F118" i="7"/>
  <c r="S118" i="7" s="1"/>
  <c r="AW118" i="7"/>
  <c r="BF118" i="7"/>
  <c r="BN117" i="7"/>
  <c r="BI117" i="7"/>
  <c r="BJ117" i="7" s="1"/>
  <c r="BE117" i="7"/>
  <c r="I117" i="7" s="1"/>
  <c r="BD117" i="7"/>
  <c r="H117" i="7" s="1"/>
  <c r="BC117" i="7"/>
  <c r="G117" i="7" s="1"/>
  <c r="BB117" i="7"/>
  <c r="BA117" i="7"/>
  <c r="AZ117" i="7"/>
  <c r="AY117" i="7"/>
  <c r="F117" i="7" s="1"/>
  <c r="K117" i="7"/>
  <c r="AW117" i="7"/>
  <c r="BN116" i="7"/>
  <c r="BI116" i="7"/>
  <c r="BJ116" i="7"/>
  <c r="BE116" i="7"/>
  <c r="I116" i="7" s="1"/>
  <c r="BD116" i="7"/>
  <c r="H116" i="7"/>
  <c r="BC116" i="7"/>
  <c r="G116" i="7" s="1"/>
  <c r="BB116" i="7"/>
  <c r="BA116" i="7"/>
  <c r="AZ116" i="7"/>
  <c r="AY116" i="7"/>
  <c r="F116" i="7" s="1"/>
  <c r="S116" i="7"/>
  <c r="J116" i="7"/>
  <c r="U116" i="7" s="1"/>
  <c r="AW116" i="7"/>
  <c r="DK84" i="7"/>
  <c r="BG84" i="7"/>
  <c r="BF84" i="7"/>
  <c r="CU84" i="7"/>
  <c r="BE84" i="7"/>
  <c r="BB84" i="7"/>
  <c r="AU84" i="7" s="1"/>
  <c r="DW84" i="7"/>
  <c r="AA84" i="7"/>
  <c r="BD84" i="7"/>
  <c r="Z84" i="7"/>
  <c r="P84" i="7"/>
  <c r="DS78" i="7"/>
  <c r="DR78" i="7"/>
  <c r="DQ78" i="7"/>
  <c r="DP78" i="7"/>
  <c r="DO78" i="7"/>
  <c r="DN78" i="7"/>
  <c r="DM78" i="7"/>
  <c r="EL78" i="7" s="1"/>
  <c r="EM78" i="7" s="1"/>
  <c r="DL78" i="7"/>
  <c r="DK78" i="7"/>
  <c r="CQ78" i="7"/>
  <c r="CP78" i="7"/>
  <c r="CO78" i="7"/>
  <c r="CM78" i="7"/>
  <c r="CH78" i="7"/>
  <c r="CA78" i="7"/>
  <c r="BK78" i="7"/>
  <c r="DH78" i="7" s="1"/>
  <c r="BE78" i="7"/>
  <c r="BB78" i="7"/>
  <c r="DS77" i="7"/>
  <c r="DR77" i="7"/>
  <c r="DQ77" i="7"/>
  <c r="DP77" i="7"/>
  <c r="DO77" i="7"/>
  <c r="DN77" i="7"/>
  <c r="DM77" i="7"/>
  <c r="EL77" i="7"/>
  <c r="EM77" i="7" s="1"/>
  <c r="DL77" i="7"/>
  <c r="DK77" i="7"/>
  <c r="CQ77" i="7"/>
  <c r="CP77" i="7"/>
  <c r="CO77" i="7"/>
  <c r="CM77" i="7"/>
  <c r="CH77" i="7"/>
  <c r="CA77" i="7"/>
  <c r="BK77" i="7"/>
  <c r="DH77" i="7" s="1"/>
  <c r="BE77" i="7"/>
  <c r="BB77" i="7"/>
  <c r="DK85" i="7"/>
  <c r="CM85" i="7"/>
  <c r="X85" i="7"/>
  <c r="Y85" i="7"/>
  <c r="BF85" i="7"/>
  <c r="AA85" i="7"/>
  <c r="CV85" i="7"/>
  <c r="BP85" i="7"/>
  <c r="BE85" i="7"/>
  <c r="BB85" i="7"/>
  <c r="DW85" i="7"/>
  <c r="P85" i="7"/>
  <c r="BM137" i="7"/>
  <c r="BL137" i="7"/>
  <c r="BN137" i="7"/>
  <c r="BN115" i="7"/>
  <c r="BN114" i="7"/>
  <c r="BN113" i="7"/>
  <c r="DH82" i="7"/>
  <c r="DF82" i="7"/>
  <c r="Y266" i="7"/>
  <c r="Y265" i="7"/>
  <c r="Y264" i="7"/>
  <c r="Y263" i="7"/>
  <c r="Y267" i="7" s="1"/>
  <c r="R170" i="7"/>
  <c r="R164" i="7"/>
  <c r="S266" i="7"/>
  <c r="S264" i="7"/>
  <c r="S262" i="7"/>
  <c r="S261" i="7"/>
  <c r="S259" i="7"/>
  <c r="S258" i="7"/>
  <c r="S257" i="7"/>
  <c r="BI115" i="7"/>
  <c r="BJ115" i="7"/>
  <c r="BI114" i="7"/>
  <c r="BJ114" i="7" s="1"/>
  <c r="BI113" i="7"/>
  <c r="BJ113" i="7"/>
  <c r="DT82" i="7"/>
  <c r="AF9" i="14"/>
  <c r="DS85" i="7" s="1"/>
  <c r="AE9" i="14"/>
  <c r="DR85" i="7" s="1"/>
  <c r="AF8" i="14"/>
  <c r="DS84" i="7" s="1"/>
  <c r="AE8" i="14"/>
  <c r="DR84" i="7"/>
  <c r="AF7" i="14"/>
  <c r="DS83" i="7" s="1"/>
  <c r="AE7" i="14"/>
  <c r="DR83" i="7"/>
  <c r="AC7" i="14"/>
  <c r="AD7" i="14" s="1"/>
  <c r="A83" i="7" s="1"/>
  <c r="DS81" i="7"/>
  <c r="DS80" i="7"/>
  <c r="DS79" i="7"/>
  <c r="DS76" i="7"/>
  <c r="DS75" i="7"/>
  <c r="DS74" i="7"/>
  <c r="DS73" i="7"/>
  <c r="DS72" i="7"/>
  <c r="DS71" i="7"/>
  <c r="DS70" i="7"/>
  <c r="DS69" i="7"/>
  <c r="DS68" i="7"/>
  <c r="P258" i="7"/>
  <c r="J258" i="7" s="1"/>
  <c r="R258" i="7" s="1"/>
  <c r="AC277" i="7"/>
  <c r="AB277" i="7"/>
  <c r="AA277" i="7"/>
  <c r="J169" i="7"/>
  <c r="Q169" i="7"/>
  <c r="R169" i="7"/>
  <c r="BE115" i="7"/>
  <c r="I115" i="7" s="1"/>
  <c r="BD115" i="7"/>
  <c r="H115" i="7"/>
  <c r="BC115" i="7"/>
  <c r="G115" i="7" s="1"/>
  <c r="BB115" i="7"/>
  <c r="BA115" i="7"/>
  <c r="AZ115" i="7"/>
  <c r="AY115" i="7"/>
  <c r="F115" i="7"/>
  <c r="AW115" i="7"/>
  <c r="BE114" i="7"/>
  <c r="I114" i="7" s="1"/>
  <c r="BD114" i="7"/>
  <c r="H114" i="7" s="1"/>
  <c r="BC114" i="7"/>
  <c r="G114" i="7" s="1"/>
  <c r="BB114" i="7"/>
  <c r="BA114" i="7"/>
  <c r="AZ114" i="7"/>
  <c r="AY114" i="7"/>
  <c r="F114" i="7"/>
  <c r="S114" i="7"/>
  <c r="J114" i="7"/>
  <c r="U114" i="7" s="1"/>
  <c r="AW114" i="7"/>
  <c r="BE113" i="7"/>
  <c r="I113" i="7" s="1"/>
  <c r="BD113" i="7"/>
  <c r="H113" i="7"/>
  <c r="AD113" i="7" s="1"/>
  <c r="AE113" i="7" s="1"/>
  <c r="BC113" i="7"/>
  <c r="G113" i="7"/>
  <c r="BB113" i="7"/>
  <c r="BA113" i="7"/>
  <c r="AZ113" i="7"/>
  <c r="AW113" i="7"/>
  <c r="AY113" i="7"/>
  <c r="F113" i="7" s="1"/>
  <c r="CW82" i="7"/>
  <c r="DC82" i="7"/>
  <c r="BG13" i="7"/>
  <c r="C26" i="12" s="1"/>
  <c r="V287" i="7"/>
  <c r="W287" i="7" s="1"/>
  <c r="V285" i="7"/>
  <c r="W293" i="7" s="1"/>
  <c r="P6" i="7"/>
  <c r="G351" i="7"/>
  <c r="L348" i="7" s="1"/>
  <c r="V286" i="7"/>
  <c r="DW82" i="7"/>
  <c r="Q307" i="7"/>
  <c r="U307" i="7" s="1"/>
  <c r="AA307" i="7" s="1"/>
  <c r="Q306" i="7"/>
  <c r="R306" i="7"/>
  <c r="X306" i="7" s="1"/>
  <c r="Q305" i="7"/>
  <c r="P43" i="7"/>
  <c r="P40" i="7"/>
  <c r="EL82" i="7"/>
  <c r="EM82" i="7" s="1"/>
  <c r="DX82" i="7"/>
  <c r="DK87" i="7"/>
  <c r="R87" i="7" s="1"/>
  <c r="DK86" i="7"/>
  <c r="DK83" i="7"/>
  <c r="S83" i="7" s="1"/>
  <c r="DK82" i="7"/>
  <c r="ED82" i="7"/>
  <c r="DK81" i="7"/>
  <c r="DK80" i="7"/>
  <c r="DK79" i="7"/>
  <c r="DK76" i="7"/>
  <c r="DK75" i="7"/>
  <c r="DK74" i="7"/>
  <c r="DK73" i="7"/>
  <c r="DK72" i="7"/>
  <c r="DK71" i="7"/>
  <c r="DK70" i="7"/>
  <c r="DK69" i="7"/>
  <c r="DK68" i="7"/>
  <c r="Y137" i="7"/>
  <c r="Z137" i="7"/>
  <c r="AA137" i="7" s="1"/>
  <c r="AD137" i="7"/>
  <c r="AE137" i="7"/>
  <c r="DR81" i="7"/>
  <c r="DR80" i="7"/>
  <c r="DR79" i="7"/>
  <c r="DR76" i="7"/>
  <c r="DR75" i="7"/>
  <c r="DR74" i="7"/>
  <c r="DR73" i="7"/>
  <c r="DR72" i="7"/>
  <c r="DR71" i="7"/>
  <c r="DR70" i="7"/>
  <c r="DR69" i="7"/>
  <c r="DR68" i="7"/>
  <c r="EB82" i="7"/>
  <c r="DZ82" i="7"/>
  <c r="DV82" i="7"/>
  <c r="CM86" i="7"/>
  <c r="CM81" i="7"/>
  <c r="CM80" i="7"/>
  <c r="CM79" i="7"/>
  <c r="CM76" i="7"/>
  <c r="X76" i="7" s="1"/>
  <c r="CM75" i="7"/>
  <c r="X75" i="7" s="1"/>
  <c r="CM74" i="7"/>
  <c r="CM73" i="7"/>
  <c r="CM72" i="7"/>
  <c r="CM71" i="7"/>
  <c r="CM70" i="7"/>
  <c r="CM69" i="7"/>
  <c r="CM68" i="7"/>
  <c r="CV82" i="7"/>
  <c r="CU82" i="7"/>
  <c r="CT82" i="7"/>
  <c r="DQ81" i="7"/>
  <c r="DP81" i="7"/>
  <c r="DO81" i="7"/>
  <c r="DN81" i="7"/>
  <c r="DZ81" i="7" s="1"/>
  <c r="DM81" i="7"/>
  <c r="EL81" i="7" s="1"/>
  <c r="EM81" i="7" s="1"/>
  <c r="DL81" i="7"/>
  <c r="DQ80" i="7"/>
  <c r="DP80" i="7"/>
  <c r="DO80" i="7"/>
  <c r="DN80" i="7"/>
  <c r="DM80" i="7"/>
  <c r="EL80" i="7" s="1"/>
  <c r="EM80" i="7" s="1"/>
  <c r="DL80" i="7"/>
  <c r="DQ79" i="7"/>
  <c r="DP79" i="7"/>
  <c r="DO79" i="7"/>
  <c r="DN79" i="7"/>
  <c r="DM79" i="7"/>
  <c r="EL79" i="7" s="1"/>
  <c r="EM79" i="7" s="1"/>
  <c r="DL79" i="7"/>
  <c r="DQ76" i="7"/>
  <c r="EB76" i="7" s="1"/>
  <c r="DP76" i="7"/>
  <c r="DO76" i="7"/>
  <c r="DN76" i="7"/>
  <c r="DM76" i="7"/>
  <c r="EL76" i="7" s="1"/>
  <c r="EM76" i="7" s="1"/>
  <c r="DL76" i="7"/>
  <c r="DQ75" i="7"/>
  <c r="DP75" i="7"/>
  <c r="DO75" i="7"/>
  <c r="DN75" i="7"/>
  <c r="DZ75" i="7" s="1"/>
  <c r="DM75" i="7"/>
  <c r="EL75" i="7" s="1"/>
  <c r="EM75" i="7" s="1"/>
  <c r="DL75" i="7"/>
  <c r="DQ74" i="7"/>
  <c r="DP74" i="7"/>
  <c r="DO74" i="7"/>
  <c r="DN74" i="7"/>
  <c r="DM74" i="7"/>
  <c r="EL74" i="7" s="1"/>
  <c r="EM74" i="7" s="1"/>
  <c r="DL74" i="7"/>
  <c r="DQ73" i="7"/>
  <c r="DP73" i="7"/>
  <c r="DO73" i="7"/>
  <c r="DN73" i="7"/>
  <c r="DM73" i="7"/>
  <c r="EL73" i="7" s="1"/>
  <c r="EM73" i="7" s="1"/>
  <c r="DL73" i="7"/>
  <c r="DQ72" i="7"/>
  <c r="DP72" i="7"/>
  <c r="DO72" i="7"/>
  <c r="DN72" i="7"/>
  <c r="DM72" i="7"/>
  <c r="EL72" i="7" s="1"/>
  <c r="EM72" i="7" s="1"/>
  <c r="DL72" i="7"/>
  <c r="DQ71" i="7"/>
  <c r="DP71" i="7"/>
  <c r="DO71" i="7"/>
  <c r="DN71" i="7"/>
  <c r="DZ71" i="7" s="1"/>
  <c r="DM71" i="7"/>
  <c r="EL71" i="7" s="1"/>
  <c r="EM71" i="7" s="1"/>
  <c r="DL71" i="7"/>
  <c r="DQ70" i="7"/>
  <c r="DP70" i="7"/>
  <c r="DO70" i="7"/>
  <c r="DN70" i="7"/>
  <c r="DM70" i="7"/>
  <c r="EL70" i="7" s="1"/>
  <c r="EM70" i="7" s="1"/>
  <c r="DL70" i="7"/>
  <c r="DQ69" i="7"/>
  <c r="DP69" i="7"/>
  <c r="DO69" i="7"/>
  <c r="DN69" i="7"/>
  <c r="DZ69" i="7" s="1"/>
  <c r="DM69" i="7"/>
  <c r="EL69" i="7" s="1"/>
  <c r="EM69" i="7" s="1"/>
  <c r="DL69" i="7"/>
  <c r="DQ68" i="7"/>
  <c r="DP68" i="7"/>
  <c r="DO68" i="7"/>
  <c r="DN68" i="7"/>
  <c r="DM68" i="7"/>
  <c r="EL68" i="7" s="1"/>
  <c r="EM68" i="7" s="1"/>
  <c r="DL68" i="7"/>
  <c r="P259" i="7"/>
  <c r="J259" i="7" s="1"/>
  <c r="R259" i="7" s="1"/>
  <c r="P257" i="7"/>
  <c r="J257" i="7"/>
  <c r="R257" i="7" s="1"/>
  <c r="Q137" i="7"/>
  <c r="R137" i="7"/>
  <c r="W137" i="7"/>
  <c r="V137" i="7"/>
  <c r="U137" i="7"/>
  <c r="S137" i="7"/>
  <c r="AL137" i="7" s="1"/>
  <c r="L88" i="7"/>
  <c r="P254" i="7"/>
  <c r="J254" i="7"/>
  <c r="CR82" i="7"/>
  <c r="AE82" i="7"/>
  <c r="AD82" i="7"/>
  <c r="DA82" i="7" s="1"/>
  <c r="AC82" i="7"/>
  <c r="AB82" i="7"/>
  <c r="CZ82" i="7" s="1"/>
  <c r="CS82" i="7"/>
  <c r="BE87" i="7"/>
  <c r="AW87" i="7" s="1"/>
  <c r="CX87" i="7" s="1"/>
  <c r="BE86" i="7"/>
  <c r="BE83" i="7"/>
  <c r="BE82" i="7"/>
  <c r="BE81" i="7"/>
  <c r="BE80" i="7"/>
  <c r="BE79" i="7"/>
  <c r="BE76" i="7"/>
  <c r="BE75" i="7"/>
  <c r="BE74" i="7"/>
  <c r="BE73" i="7"/>
  <c r="BE72" i="7"/>
  <c r="BE71" i="7"/>
  <c r="BE70" i="7"/>
  <c r="BE69" i="7"/>
  <c r="BB87" i="7"/>
  <c r="BB86" i="7"/>
  <c r="BB83" i="7"/>
  <c r="BB82" i="7"/>
  <c r="BB81" i="7"/>
  <c r="BB80" i="7"/>
  <c r="BB79" i="7"/>
  <c r="BB76" i="7"/>
  <c r="BB75" i="7"/>
  <c r="BB74" i="7"/>
  <c r="BB73" i="7"/>
  <c r="BB72" i="7"/>
  <c r="BB71" i="7"/>
  <c r="BB70" i="7"/>
  <c r="BB69" i="7"/>
  <c r="BE68" i="7"/>
  <c r="BB68" i="7"/>
  <c r="CQ81" i="7"/>
  <c r="CP81" i="7"/>
  <c r="CO81" i="7"/>
  <c r="CQ80" i="7"/>
  <c r="CP80" i="7"/>
  <c r="CO80" i="7"/>
  <c r="CQ79" i="7"/>
  <c r="CP79" i="7"/>
  <c r="CO79" i="7"/>
  <c r="CQ76" i="7"/>
  <c r="CP76" i="7"/>
  <c r="CO76" i="7"/>
  <c r="CQ75" i="7"/>
  <c r="CP75" i="7"/>
  <c r="CO75" i="7"/>
  <c r="CQ74" i="7"/>
  <c r="CP74" i="7"/>
  <c r="CO74" i="7"/>
  <c r="CQ73" i="7"/>
  <c r="CP73" i="7"/>
  <c r="CO73" i="7"/>
  <c r="CQ72" i="7"/>
  <c r="CP72" i="7"/>
  <c r="CO72" i="7"/>
  <c r="CQ71" i="7"/>
  <c r="CP71" i="7"/>
  <c r="CO71" i="7"/>
  <c r="CQ70" i="7"/>
  <c r="CP70" i="7"/>
  <c r="CO70" i="7"/>
  <c r="CQ69" i="7"/>
  <c r="CP69" i="7"/>
  <c r="CO69" i="7"/>
  <c r="CQ68" i="7"/>
  <c r="CP68" i="7"/>
  <c r="CO68" i="7"/>
  <c r="S5" i="7"/>
  <c r="J170" i="7"/>
  <c r="Q170" i="7" s="1"/>
  <c r="J168" i="7"/>
  <c r="Q168" i="7" s="1"/>
  <c r="R168" i="7"/>
  <c r="P86" i="7"/>
  <c r="AA274" i="7"/>
  <c r="AC274" i="7"/>
  <c r="AC275" i="7"/>
  <c r="AC276" i="7"/>
  <c r="AC278" i="7"/>
  <c r="AB274" i="7"/>
  <c r="AB278" i="7"/>
  <c r="AB276" i="7"/>
  <c r="AB275" i="7"/>
  <c r="G297" i="7"/>
  <c r="Z83" i="7"/>
  <c r="C27" i="12"/>
  <c r="D27" i="12"/>
  <c r="BL88" i="7"/>
  <c r="W13" i="7"/>
  <c r="J167" i="7"/>
  <c r="Q167" i="7"/>
  <c r="R167" i="7" s="1"/>
  <c r="V76" i="7"/>
  <c r="P255" i="7"/>
  <c r="J255" i="7"/>
  <c r="R255" i="7" s="1"/>
  <c r="S255" i="7"/>
  <c r="P256" i="7"/>
  <c r="J256" i="7"/>
  <c r="R256" i="7" s="1"/>
  <c r="S256" i="7"/>
  <c r="P260" i="7"/>
  <c r="J260" i="7"/>
  <c r="R260" i="7" s="1"/>
  <c r="S260" i="7"/>
  <c r="P264" i="7"/>
  <c r="L264" i="7"/>
  <c r="P265" i="7"/>
  <c r="J265" i="7" s="1"/>
  <c r="P266" i="7"/>
  <c r="J266" i="7"/>
  <c r="R266" i="7" s="1"/>
  <c r="P263" i="7"/>
  <c r="L263" i="7" s="1"/>
  <c r="BK69" i="7"/>
  <c r="BJ69" i="7"/>
  <c r="BK70" i="7"/>
  <c r="BK71" i="7"/>
  <c r="BI71" i="7"/>
  <c r="BK72" i="7"/>
  <c r="BK73" i="7"/>
  <c r="DH73" i="7"/>
  <c r="BK74" i="7"/>
  <c r="DH74" i="7" s="1"/>
  <c r="BK75" i="7"/>
  <c r="DH75" i="7"/>
  <c r="BK76" i="7"/>
  <c r="DH76" i="7" s="1"/>
  <c r="BK79" i="7"/>
  <c r="DH79" i="7"/>
  <c r="BK80" i="7"/>
  <c r="BK81" i="7"/>
  <c r="DH81" i="7"/>
  <c r="BK68" i="7"/>
  <c r="BJ68" i="7" s="1"/>
  <c r="D213" i="7"/>
  <c r="P87" i="7"/>
  <c r="DH83" i="7"/>
  <c r="CH68" i="7"/>
  <c r="DW86" i="7"/>
  <c r="DW87" i="7"/>
  <c r="DW83" i="7"/>
  <c r="AK72" i="7"/>
  <c r="AK73" i="7"/>
  <c r="AK74" i="7"/>
  <c r="AK75" i="7"/>
  <c r="AK76" i="7"/>
  <c r="AK80" i="7"/>
  <c r="AR72" i="7"/>
  <c r="DW72" i="7"/>
  <c r="AR73" i="7"/>
  <c r="DW73" i="7"/>
  <c r="AR74" i="7"/>
  <c r="DW74" i="7"/>
  <c r="AR76" i="7"/>
  <c r="DW76" i="7" s="1"/>
  <c r="AR80" i="7"/>
  <c r="AJ72" i="7"/>
  <c r="AJ73" i="7"/>
  <c r="AJ74" i="7"/>
  <c r="AJ76" i="7"/>
  <c r="AJ80" i="7"/>
  <c r="CH81" i="7"/>
  <c r="CH80" i="7"/>
  <c r="CH79" i="7"/>
  <c r="CH76" i="7"/>
  <c r="CH75" i="7"/>
  <c r="CH74" i="7"/>
  <c r="CH73" i="7"/>
  <c r="CH72" i="7"/>
  <c r="CH71" i="7"/>
  <c r="CH70" i="7"/>
  <c r="CH69" i="7"/>
  <c r="M68" i="12"/>
  <c r="M67" i="12"/>
  <c r="M66" i="12"/>
  <c r="M65" i="12"/>
  <c r="M64" i="12"/>
  <c r="M63" i="12"/>
  <c r="M62" i="12"/>
  <c r="M61" i="12"/>
  <c r="M60" i="12"/>
  <c r="M59" i="12"/>
  <c r="M58" i="12"/>
  <c r="M57" i="12"/>
  <c r="M56" i="12"/>
  <c r="M55" i="12"/>
  <c r="O68" i="12"/>
  <c r="O67" i="12"/>
  <c r="O66" i="12"/>
  <c r="O65" i="12"/>
  <c r="O64" i="12"/>
  <c r="O63" i="12"/>
  <c r="O62" i="12"/>
  <c r="O61" i="12"/>
  <c r="O60" i="12"/>
  <c r="O59" i="12"/>
  <c r="O58" i="12"/>
  <c r="O57" i="12"/>
  <c r="O56" i="12"/>
  <c r="O55" i="12"/>
  <c r="N68" i="12"/>
  <c r="N67" i="12"/>
  <c r="N66" i="12"/>
  <c r="N65" i="12"/>
  <c r="N64" i="12"/>
  <c r="N63" i="12"/>
  <c r="N62" i="12"/>
  <c r="N61" i="12"/>
  <c r="N60" i="12"/>
  <c r="N59" i="12"/>
  <c r="N58" i="12"/>
  <c r="N57" i="12"/>
  <c r="N56" i="12"/>
  <c r="N55" i="12"/>
  <c r="AA278" i="7"/>
  <c r="AA275" i="7"/>
  <c r="AA276" i="7"/>
  <c r="P281" i="7"/>
  <c r="J281" i="7"/>
  <c r="CB72" i="7"/>
  <c r="CC72" i="7"/>
  <c r="CD72" i="7"/>
  <c r="CB73" i="7"/>
  <c r="CC73" i="7"/>
  <c r="CD73" i="7"/>
  <c r="CB74" i="7"/>
  <c r="CC74" i="7"/>
  <c r="CD74" i="7"/>
  <c r="CB75" i="7"/>
  <c r="CC75" i="7"/>
  <c r="CD75" i="7"/>
  <c r="CB76" i="7"/>
  <c r="CC76" i="7"/>
  <c r="CD76" i="7"/>
  <c r="CB80" i="7"/>
  <c r="CC80" i="7"/>
  <c r="CD80" i="7"/>
  <c r="BG86" i="7"/>
  <c r="BG87" i="7"/>
  <c r="BG83" i="7"/>
  <c r="AA86" i="7"/>
  <c r="BD86" i="7" s="1"/>
  <c r="BF86" i="7"/>
  <c r="Z87" i="7"/>
  <c r="BC87" i="7" s="1"/>
  <c r="AI87" i="7" s="1"/>
  <c r="BF87" i="7"/>
  <c r="BF83" i="7"/>
  <c r="CU86" i="7"/>
  <c r="CU87" i="7"/>
  <c r="BO87" i="7"/>
  <c r="CU83" i="7"/>
  <c r="AC8" i="14"/>
  <c r="AD8" i="14" s="1"/>
  <c r="A84" i="7" s="1"/>
  <c r="AC9" i="14"/>
  <c r="AD9" i="14" s="1"/>
  <c r="A85" i="7" s="1"/>
  <c r="CA81" i="7"/>
  <c r="CA80" i="7"/>
  <c r="CA79" i="7"/>
  <c r="CA76" i="7"/>
  <c r="CA75" i="7"/>
  <c r="CA74" i="7"/>
  <c r="CA73" i="7"/>
  <c r="CA72" i="7"/>
  <c r="CA71" i="7"/>
  <c r="CA70" i="7"/>
  <c r="CA69" i="7"/>
  <c r="Q281" i="7"/>
  <c r="L281" i="7"/>
  <c r="CA68" i="7"/>
  <c r="BQ74" i="7"/>
  <c r="BQ73" i="7"/>
  <c r="BQ76" i="7"/>
  <c r="BQ80" i="7"/>
  <c r="BQ72" i="7"/>
  <c r="BN74" i="7"/>
  <c r="BN80" i="7"/>
  <c r="BN72" i="7"/>
  <c r="BN76" i="7"/>
  <c r="BO76" i="7" s="1"/>
  <c r="BN73" i="7"/>
  <c r="BS80" i="7"/>
  <c r="BS76" i="7"/>
  <c r="BS72" i="7"/>
  <c r="CV72" i="7"/>
  <c r="BS74" i="7"/>
  <c r="CV74" i="7" s="1"/>
  <c r="BS73" i="7"/>
  <c r="BR76" i="7"/>
  <c r="BR72" i="7"/>
  <c r="BR73" i="7"/>
  <c r="CU73" i="7" s="1"/>
  <c r="BR74" i="7"/>
  <c r="CU74" i="7" s="1"/>
  <c r="BR80" i="7"/>
  <c r="BT80" i="7"/>
  <c r="AA80" i="7"/>
  <c r="BT74" i="7"/>
  <c r="AA74" i="7" s="1"/>
  <c r="BT73" i="7"/>
  <c r="AA73" i="7"/>
  <c r="BT76" i="7"/>
  <c r="Z76" i="7" s="1"/>
  <c r="BT72" i="7"/>
  <c r="BV76" i="7"/>
  <c r="BG76" i="7"/>
  <c r="BV72" i="7"/>
  <c r="BG72" i="7"/>
  <c r="BV73" i="7"/>
  <c r="BG73" i="7"/>
  <c r="BV80" i="7"/>
  <c r="BG80" i="7"/>
  <c r="BV74" i="7"/>
  <c r="BG74" i="7"/>
  <c r="BW80" i="7"/>
  <c r="BW76" i="7"/>
  <c r="BW72" i="7"/>
  <c r="BW74" i="7"/>
  <c r="BW73" i="7"/>
  <c r="BX74" i="7"/>
  <c r="BX73" i="7"/>
  <c r="BX80" i="7"/>
  <c r="BX72" i="7"/>
  <c r="BX76" i="7"/>
  <c r="BU74" i="7"/>
  <c r="BF74" i="7"/>
  <c r="BU73" i="7"/>
  <c r="BF73" i="7"/>
  <c r="BU80" i="7"/>
  <c r="BF80" i="7"/>
  <c r="BU76" i="7"/>
  <c r="BF76" i="7"/>
  <c r="BU72" i="7"/>
  <c r="BF72" i="7"/>
  <c r="BY74" i="7"/>
  <c r="BY73" i="7"/>
  <c r="BY80" i="7"/>
  <c r="BY72" i="7"/>
  <c r="BY76" i="7"/>
  <c r="BZ72" i="7"/>
  <c r="BZ76" i="7"/>
  <c r="BZ73" i="7"/>
  <c r="BZ80" i="7"/>
  <c r="BZ74" i="7"/>
  <c r="BN75" i="7"/>
  <c r="BO75" i="7"/>
  <c r="BQ75" i="7"/>
  <c r="BR75" i="7"/>
  <c r="CU75" i="7"/>
  <c r="BS75" i="7"/>
  <c r="CV75" i="7" s="1"/>
  <c r="BT75" i="7"/>
  <c r="AA75" i="7"/>
  <c r="AJ75" i="7"/>
  <c r="BV75" i="7"/>
  <c r="BG75" i="7"/>
  <c r="BW75" i="7"/>
  <c r="BX75" i="7"/>
  <c r="AR75" i="7"/>
  <c r="DW75" i="7"/>
  <c r="BU75" i="7"/>
  <c r="BF75" i="7" s="1"/>
  <c r="BY75" i="7"/>
  <c r="BZ75" i="7"/>
  <c r="BI73" i="7"/>
  <c r="P83" i="7"/>
  <c r="G22" i="31"/>
  <c r="H22" i="31" s="1"/>
  <c r="I22" i="31" s="1"/>
  <c r="J22" i="31" s="1"/>
  <c r="K22" i="31" s="1"/>
  <c r="G85" i="31"/>
  <c r="H85" i="31"/>
  <c r="I85" i="31" s="1"/>
  <c r="J85" i="31" s="1"/>
  <c r="K85" i="31" s="1"/>
  <c r="L266" i="7"/>
  <c r="T5" i="7"/>
  <c r="U5" i="7"/>
  <c r="G72" i="31"/>
  <c r="H72" i="31" s="1"/>
  <c r="I72" i="31" s="1"/>
  <c r="J72" i="31" s="1"/>
  <c r="K72" i="31" s="1"/>
  <c r="G94" i="31"/>
  <c r="H94" i="31"/>
  <c r="I94" i="31" s="1"/>
  <c r="J94" i="31" s="1"/>
  <c r="K94" i="31" s="1"/>
  <c r="G71" i="31"/>
  <c r="H71" i="31" s="1"/>
  <c r="I71" i="31" s="1"/>
  <c r="J71" i="31" s="1"/>
  <c r="K71" i="31" s="1"/>
  <c r="G70" i="31"/>
  <c r="H70" i="31"/>
  <c r="I70" i="31" s="1"/>
  <c r="J70" i="31" s="1"/>
  <c r="K70" i="31" s="1"/>
  <c r="G36" i="31"/>
  <c r="H36" i="31" s="1"/>
  <c r="I36" i="31" s="1"/>
  <c r="J36" i="31" s="1"/>
  <c r="K36" i="31" s="1"/>
  <c r="J264" i="7"/>
  <c r="R264" i="7"/>
  <c r="U87" i="7"/>
  <c r="J87" i="7" s="1"/>
  <c r="L265" i="7"/>
  <c r="AG74" i="7"/>
  <c r="BH70" i="7"/>
  <c r="J166" i="7"/>
  <c r="BH76" i="7"/>
  <c r="U75" i="7"/>
  <c r="G47" i="31"/>
  <c r="H47" i="31" s="1"/>
  <c r="I47" i="31" s="1"/>
  <c r="J47" i="31" s="1"/>
  <c r="K47" i="31" s="1"/>
  <c r="G83" i="31"/>
  <c r="H83" i="31"/>
  <c r="I83" i="31" s="1"/>
  <c r="J83" i="31" s="1"/>
  <c r="K83" i="31" s="1"/>
  <c r="G53" i="31"/>
  <c r="H53" i="31" s="1"/>
  <c r="I53" i="31" s="1"/>
  <c r="J53" i="31" s="1"/>
  <c r="K53" i="31" s="1"/>
  <c r="G26" i="31"/>
  <c r="H26" i="31"/>
  <c r="I26" i="31" s="1"/>
  <c r="J26" i="31" s="1"/>
  <c r="K26" i="31" s="1"/>
  <c r="G18" i="31"/>
  <c r="H18" i="31" s="1"/>
  <c r="I18" i="31" s="1"/>
  <c r="J18" i="31" s="1"/>
  <c r="K18" i="31" s="1"/>
  <c r="G45" i="31"/>
  <c r="H45" i="31"/>
  <c r="I45" i="31" s="1"/>
  <c r="J45" i="31" s="1"/>
  <c r="K45" i="31" s="1"/>
  <c r="G82" i="31"/>
  <c r="H82" i="31" s="1"/>
  <c r="I82" i="31" s="1"/>
  <c r="J82" i="31" s="1"/>
  <c r="K82" i="31" s="1"/>
  <c r="BH73" i="7"/>
  <c r="BI76" i="7"/>
  <c r="G29" i="31"/>
  <c r="H29" i="31" s="1"/>
  <c r="I29" i="31" s="1"/>
  <c r="J29" i="31" s="1"/>
  <c r="K29" i="31" s="1"/>
  <c r="G35" i="31"/>
  <c r="H35" i="31"/>
  <c r="I35" i="31" s="1"/>
  <c r="J35" i="31" s="1"/>
  <c r="K35" i="31" s="1"/>
  <c r="G91" i="31"/>
  <c r="H91" i="31" s="1"/>
  <c r="I91" i="31" s="1"/>
  <c r="J91" i="31" s="1"/>
  <c r="K91" i="31" s="1"/>
  <c r="G96" i="31"/>
  <c r="H96" i="31"/>
  <c r="I96" i="31" s="1"/>
  <c r="J96" i="31" s="1"/>
  <c r="K96" i="31" s="1"/>
  <c r="G55" i="31"/>
  <c r="H55" i="31" s="1"/>
  <c r="I55" i="31" s="1"/>
  <c r="J55" i="31" s="1"/>
  <c r="K55" i="31" s="1"/>
  <c r="G7" i="31"/>
  <c r="H7" i="31"/>
  <c r="I7" i="31" s="1"/>
  <c r="J7" i="31" s="1"/>
  <c r="K7" i="31" s="1"/>
  <c r="BI79" i="7"/>
  <c r="BJ79" i="7"/>
  <c r="U72" i="7"/>
  <c r="AG73" i="7"/>
  <c r="BH79" i="7"/>
  <c r="BI75" i="7"/>
  <c r="AG75" i="7"/>
  <c r="U80" i="7"/>
  <c r="T80" i="7"/>
  <c r="W80" i="7"/>
  <c r="BJ74" i="7"/>
  <c r="W76" i="7"/>
  <c r="S76" i="7"/>
  <c r="U76" i="7"/>
  <c r="BH74" i="7"/>
  <c r="AC74" i="7"/>
  <c r="BH86" i="7"/>
  <c r="CQ86" i="7"/>
  <c r="BY86" i="7"/>
  <c r="CV86" i="7"/>
  <c r="AC86" i="7"/>
  <c r="BI87" i="7"/>
  <c r="Z86" i="7"/>
  <c r="BC86" i="7"/>
  <c r="BH75" i="7"/>
  <c r="AC75" i="7"/>
  <c r="BP87" i="7"/>
  <c r="X72" i="7"/>
  <c r="BI83" i="7"/>
  <c r="CP86" i="7"/>
  <c r="BI86" i="7"/>
  <c r="AM86" i="7" s="1"/>
  <c r="AG86" i="7"/>
  <c r="CH86" i="7"/>
  <c r="EL86" i="7"/>
  <c r="EM86" i="7"/>
  <c r="BJ86" i="7"/>
  <c r="CO86" i="7"/>
  <c r="BZ86" i="7"/>
  <c r="CT86" i="7"/>
  <c r="C28" i="12"/>
  <c r="U306" i="7"/>
  <c r="AA306" i="7" s="1"/>
  <c r="R307" i="7"/>
  <c r="X307" i="7"/>
  <c r="V307" i="7"/>
  <c r="AB307" i="7" s="1"/>
  <c r="S307" i="7"/>
  <c r="Y307" i="7"/>
  <c r="T307" i="7"/>
  <c r="Z307" i="7" s="1"/>
  <c r="C29" i="12"/>
  <c r="CU76" i="7"/>
  <c r="J164" i="7"/>
  <c r="V73" i="7"/>
  <c r="Z75" i="7"/>
  <c r="AZ75" i="7"/>
  <c r="Z74" i="7"/>
  <c r="BP75" i="7"/>
  <c r="AA87" i="7"/>
  <c r="BD87" i="7"/>
  <c r="T82" i="7"/>
  <c r="EC82" i="7"/>
  <c r="EH82" i="7" s="1"/>
  <c r="AG76" i="7"/>
  <c r="P168" i="7"/>
  <c r="S82" i="7"/>
  <c r="W75" i="7"/>
  <c r="BI72" i="7"/>
  <c r="V75" i="7"/>
  <c r="DX75" i="7" s="1"/>
  <c r="EA75" i="7"/>
  <c r="EB75" i="7" s="1"/>
  <c r="EG82" i="7"/>
  <c r="R82" i="7"/>
  <c r="AC76" i="7"/>
  <c r="AA83" i="7"/>
  <c r="BD83" i="7" s="1"/>
  <c r="AA76" i="7"/>
  <c r="BD76" i="7" s="1"/>
  <c r="BP76" i="7"/>
  <c r="BY87" i="7"/>
  <c r="EL87" i="7"/>
  <c r="EM87" i="7"/>
  <c r="CO87" i="7"/>
  <c r="S265" i="7"/>
  <c r="X73" i="7"/>
  <c r="Y73" i="7"/>
  <c r="R73" i="7" s="1"/>
  <c r="CI73" i="7" s="1"/>
  <c r="EK82" i="7"/>
  <c r="CQ83" i="7"/>
  <c r="BQ78" i="7"/>
  <c r="BN77" i="7"/>
  <c r="Z80" i="7"/>
  <c r="AZ80" i="7"/>
  <c r="K125" i="7"/>
  <c r="V125" i="7" s="1"/>
  <c r="H127" i="7"/>
  <c r="AD127" i="7"/>
  <c r="AE127" i="7"/>
  <c r="K129" i="7"/>
  <c r="V129" i="7" s="1"/>
  <c r="M129" i="7"/>
  <c r="W129" i="7"/>
  <c r="H130" i="7"/>
  <c r="AD130" i="7" s="1"/>
  <c r="AE130" i="7" s="1"/>
  <c r="J123" i="7"/>
  <c r="U123" i="7" s="1"/>
  <c r="M116" i="7"/>
  <c r="W116" i="7"/>
  <c r="AP116" i="7" s="1"/>
  <c r="J122" i="7"/>
  <c r="U122" i="7" s="1"/>
  <c r="K123" i="7"/>
  <c r="V123" i="7"/>
  <c r="AO123" i="7"/>
  <c r="M124" i="7"/>
  <c r="W124" i="7"/>
  <c r="J126" i="7"/>
  <c r="U126" i="7" s="1"/>
  <c r="K127" i="7"/>
  <c r="V127" i="7"/>
  <c r="M128" i="7"/>
  <c r="W128" i="7" s="1"/>
  <c r="J127" i="7"/>
  <c r="U127" i="7"/>
  <c r="J117" i="7"/>
  <c r="U117" i="7" s="1"/>
  <c r="J121" i="7"/>
  <c r="J125" i="7"/>
  <c r="U125" i="7"/>
  <c r="K126" i="7"/>
  <c r="V126" i="7" s="1"/>
  <c r="J129" i="7"/>
  <c r="U129" i="7"/>
  <c r="AA153" i="7"/>
  <c r="AB153" i="7"/>
  <c r="AA149" i="7"/>
  <c r="AC149" i="7"/>
  <c r="AB149" i="7"/>
  <c r="W73" i="7"/>
  <c r="S73" i="7"/>
  <c r="AQ146" i="7"/>
  <c r="AS152" i="7"/>
  <c r="T309" i="7"/>
  <c r="Z309" i="7"/>
  <c r="S311" i="7"/>
  <c r="Y311" i="7" s="1"/>
  <c r="T312" i="7"/>
  <c r="Z312" i="7"/>
  <c r="T317" i="7"/>
  <c r="Z317" i="7" s="1"/>
  <c r="S319" i="7"/>
  <c r="Y319" i="7"/>
  <c r="T320" i="7"/>
  <c r="Z320" i="7" s="1"/>
  <c r="T325" i="7"/>
  <c r="Z325" i="7"/>
  <c r="S327" i="7"/>
  <c r="Y327" i="7" s="1"/>
  <c r="S328" i="7"/>
  <c r="Y328" i="7"/>
  <c r="T331" i="7"/>
  <c r="Z331" i="7" s="1"/>
  <c r="T332" i="7"/>
  <c r="Z332" i="7"/>
  <c r="AQ142" i="7"/>
  <c r="T146" i="7"/>
  <c r="AM146" i="7" s="1"/>
  <c r="AR146" i="7"/>
  <c r="V311" i="7"/>
  <c r="AB311" i="7" s="1"/>
  <c r="V319" i="7"/>
  <c r="AB319" i="7"/>
  <c r="T327" i="7"/>
  <c r="Z327" i="7" s="1"/>
  <c r="T328" i="7"/>
  <c r="Z328" i="7"/>
  <c r="V331" i="7"/>
  <c r="AB331" i="7" s="1"/>
  <c r="U73" i="7"/>
  <c r="AU146" i="7"/>
  <c r="AU154" i="7"/>
  <c r="AQ154" i="7"/>
  <c r="V327" i="7"/>
  <c r="AB327" i="7"/>
  <c r="AU138" i="7"/>
  <c r="AT147" i="7"/>
  <c r="AU150" i="7"/>
  <c r="AQ150" i="7"/>
  <c r="R308" i="7"/>
  <c r="X308" i="7" s="1"/>
  <c r="V308" i="7"/>
  <c r="AB308" i="7"/>
  <c r="S309" i="7"/>
  <c r="U311" i="7"/>
  <c r="AA311" i="7"/>
  <c r="R312" i="7"/>
  <c r="X312" i="7" s="1"/>
  <c r="V312" i="7"/>
  <c r="AB312" i="7"/>
  <c r="S313" i="7"/>
  <c r="Y313" i="7" s="1"/>
  <c r="T314" i="7"/>
  <c r="Z314" i="7"/>
  <c r="U315" i="7"/>
  <c r="AA315" i="7" s="1"/>
  <c r="R316" i="7"/>
  <c r="X316" i="7"/>
  <c r="V316" i="7"/>
  <c r="AB316" i="7" s="1"/>
  <c r="S317" i="7"/>
  <c r="Y317" i="7"/>
  <c r="T318" i="7"/>
  <c r="Z318" i="7" s="1"/>
  <c r="U319" i="7"/>
  <c r="AA319" i="7"/>
  <c r="R320" i="7"/>
  <c r="X320" i="7" s="1"/>
  <c r="V320" i="7"/>
  <c r="AB320" i="7"/>
  <c r="S321" i="7"/>
  <c r="Y321" i="7" s="1"/>
  <c r="T322" i="7"/>
  <c r="Z322" i="7"/>
  <c r="U323" i="7"/>
  <c r="AA323" i="7" s="1"/>
  <c r="R324" i="7"/>
  <c r="X324" i="7"/>
  <c r="V324" i="7"/>
  <c r="AB324" i="7" s="1"/>
  <c r="S325" i="7"/>
  <c r="Y325" i="7"/>
  <c r="T326" i="7"/>
  <c r="Z326" i="7" s="1"/>
  <c r="R328" i="7"/>
  <c r="X328" i="7"/>
  <c r="V328" i="7"/>
  <c r="AB328" i="7" s="1"/>
  <c r="S329" i="7"/>
  <c r="Y329" i="7"/>
  <c r="T330" i="7"/>
  <c r="Z330" i="7" s="1"/>
  <c r="R332" i="7"/>
  <c r="X332" i="7"/>
  <c r="V332" i="7"/>
  <c r="AB332" i="7" s="1"/>
  <c r="S333" i="7"/>
  <c r="Y333" i="7"/>
  <c r="T334" i="7"/>
  <c r="Z334" i="7" s="1"/>
  <c r="U314" i="7"/>
  <c r="AA314" i="7"/>
  <c r="U318" i="7"/>
  <c r="AA318" i="7" s="1"/>
  <c r="U322" i="7"/>
  <c r="AA322" i="7"/>
  <c r="U326" i="7"/>
  <c r="AA326" i="7" s="1"/>
  <c r="U330" i="7"/>
  <c r="AA330" i="7"/>
  <c r="U334" i="7"/>
  <c r="AA334" i="7" s="1"/>
  <c r="U309" i="7"/>
  <c r="AA309" i="7" s="1"/>
  <c r="R310" i="7"/>
  <c r="X310" i="7"/>
  <c r="U313" i="7"/>
  <c r="AA313" i="7"/>
  <c r="R314" i="7"/>
  <c r="X314" i="7"/>
  <c r="V314" i="7"/>
  <c r="AB314" i="7"/>
  <c r="U317" i="7"/>
  <c r="AA317" i="7"/>
  <c r="R318" i="7"/>
  <c r="X318" i="7"/>
  <c r="V318" i="7"/>
  <c r="AB318" i="7"/>
  <c r="U321" i="7"/>
  <c r="AA321" i="7"/>
  <c r="R322" i="7"/>
  <c r="X322" i="7"/>
  <c r="V322" i="7"/>
  <c r="AB322" i="7" s="1"/>
  <c r="U325" i="7"/>
  <c r="AA325" i="7"/>
  <c r="R326" i="7"/>
  <c r="X326" i="7" s="1"/>
  <c r="V326" i="7"/>
  <c r="AB326" i="7"/>
  <c r="U329" i="7"/>
  <c r="AA329" i="7" s="1"/>
  <c r="R330" i="7"/>
  <c r="X330" i="7"/>
  <c r="V330" i="7"/>
  <c r="AB330" i="7" s="1"/>
  <c r="U333" i="7"/>
  <c r="AA333" i="7"/>
  <c r="R334" i="7"/>
  <c r="X334" i="7" s="1"/>
  <c r="V334" i="7"/>
  <c r="AB334" i="7" s="1"/>
  <c r="R309" i="7"/>
  <c r="X309" i="7" s="1"/>
  <c r="R313" i="7"/>
  <c r="X313" i="7"/>
  <c r="R317" i="7"/>
  <c r="X317" i="7" s="1"/>
  <c r="R321" i="7"/>
  <c r="X321" i="7"/>
  <c r="R325" i="7"/>
  <c r="X325" i="7" s="1"/>
  <c r="R329" i="7"/>
  <c r="X329" i="7"/>
  <c r="R333" i="7"/>
  <c r="X333" i="7" s="1"/>
  <c r="AB140" i="7"/>
  <c r="AA140" i="7"/>
  <c r="AA138" i="7"/>
  <c r="AC138" i="7" s="1"/>
  <c r="AB138" i="7"/>
  <c r="AA139" i="7"/>
  <c r="AC139" i="7"/>
  <c r="AU139" i="7"/>
  <c r="AT140" i="7"/>
  <c r="AQ141" i="7"/>
  <c r="T141" i="7"/>
  <c r="AM141" i="7"/>
  <c r="AR141" i="7" s="1"/>
  <c r="AA142" i="7"/>
  <c r="AC142" i="7" s="1"/>
  <c r="AG142" i="7" s="1"/>
  <c r="T143" i="7"/>
  <c r="AM143" i="7"/>
  <c r="AQ143" i="7"/>
  <c r="AB152" i="7"/>
  <c r="AA152" i="7"/>
  <c r="AA154" i="7"/>
  <c r="AB154" i="7"/>
  <c r="AB148" i="7"/>
  <c r="AA148" i="7"/>
  <c r="AA150" i="7"/>
  <c r="AB150" i="7"/>
  <c r="AT138" i="7"/>
  <c r="AB141" i="7"/>
  <c r="AC141" i="7" s="1"/>
  <c r="AU142" i="7"/>
  <c r="AT143" i="7"/>
  <c r="AB143" i="7"/>
  <c r="AC143" i="7" s="1"/>
  <c r="AG143" i="7" s="1"/>
  <c r="AA146" i="7"/>
  <c r="AC146" i="7" s="1"/>
  <c r="AB146" i="7"/>
  <c r="AB144" i="7"/>
  <c r="AA144" i="7"/>
  <c r="AC144" i="7" s="1"/>
  <c r="AT144" i="7"/>
  <c r="T145" i="7"/>
  <c r="AM145" i="7"/>
  <c r="AS145" i="7"/>
  <c r="AA147" i="7"/>
  <c r="AC147" i="7"/>
  <c r="AQ147" i="7"/>
  <c r="AU147" i="7"/>
  <c r="AT148" i="7"/>
  <c r="T149" i="7"/>
  <c r="AM149" i="7"/>
  <c r="AR149" i="7"/>
  <c r="AA151" i="7"/>
  <c r="AC151" i="7"/>
  <c r="AQ151" i="7"/>
  <c r="AU151" i="7"/>
  <c r="AT152" i="7"/>
  <c r="T153" i="7"/>
  <c r="AM153" i="7"/>
  <c r="AR153" i="7"/>
  <c r="AS153" i="7"/>
  <c r="AQ145" i="7"/>
  <c r="AU145" i="7"/>
  <c r="AT146" i="7"/>
  <c r="AQ149" i="7"/>
  <c r="AU149" i="7"/>
  <c r="AT150" i="7"/>
  <c r="AR152" i="7"/>
  <c r="AQ153" i="7"/>
  <c r="AU153" i="7"/>
  <c r="AT154" i="7"/>
  <c r="R85" i="7"/>
  <c r="CI85" i="7" s="1"/>
  <c r="BI85" i="7"/>
  <c r="BZ85" i="7"/>
  <c r="Z116" i="7"/>
  <c r="BQ79" i="7"/>
  <c r="CO85" i="7"/>
  <c r="BQ77" i="7"/>
  <c r="V117" i="7"/>
  <c r="BF114" i="7"/>
  <c r="BH85" i="7"/>
  <c r="CQ85" i="7"/>
  <c r="BI77" i="7"/>
  <c r="BA84" i="7"/>
  <c r="AL84" i="7" s="1"/>
  <c r="CS84" i="7" s="1"/>
  <c r="BN79" i="7"/>
  <c r="BN78" i="7"/>
  <c r="BO78" i="7"/>
  <c r="BJ85" i="7"/>
  <c r="BO84" i="7"/>
  <c r="Z129" i="7"/>
  <c r="BF120" i="7"/>
  <c r="Z122" i="7"/>
  <c r="Z124" i="7"/>
  <c r="Z125" i="7"/>
  <c r="AB125" i="7" s="1"/>
  <c r="Z126" i="7"/>
  <c r="W117" i="7"/>
  <c r="Z117" i="7"/>
  <c r="BF117" i="7"/>
  <c r="W121" i="7"/>
  <c r="Z121" i="7"/>
  <c r="Z123" i="7"/>
  <c r="AA123" i="7" s="1"/>
  <c r="V116" i="7"/>
  <c r="U121" i="7"/>
  <c r="AN121" i="7"/>
  <c r="AS121" i="7" s="1"/>
  <c r="Z128" i="7"/>
  <c r="V128" i="7"/>
  <c r="AT128" i="7"/>
  <c r="AO128" i="7"/>
  <c r="BF129" i="7"/>
  <c r="BF126" i="7"/>
  <c r="BF123" i="7"/>
  <c r="W127" i="7"/>
  <c r="AP127" i="7"/>
  <c r="AU127" i="7"/>
  <c r="Z127" i="7"/>
  <c r="BF127" i="7"/>
  <c r="BY84" i="7"/>
  <c r="CQ84" i="7"/>
  <c r="CH84" i="7"/>
  <c r="BJ84" i="7"/>
  <c r="BI78" i="7"/>
  <c r="BH77" i="7"/>
  <c r="BH78" i="7"/>
  <c r="BJ77" i="7"/>
  <c r="BJ78" i="7"/>
  <c r="AZ85" i="7"/>
  <c r="BC85" i="7"/>
  <c r="CJ85" i="7"/>
  <c r="BY85" i="7"/>
  <c r="AF85" i="7" s="1"/>
  <c r="DC85" i="7"/>
  <c r="CP85" i="7"/>
  <c r="DH85" i="7"/>
  <c r="EL85" i="7"/>
  <c r="EM85" i="7" s="1"/>
  <c r="BO85" i="7"/>
  <c r="AV85" i="7"/>
  <c r="CH85" i="7"/>
  <c r="BA86" i="7"/>
  <c r="AL86" i="7"/>
  <c r="AZ87" i="7"/>
  <c r="DX76" i="7"/>
  <c r="Y76" i="7"/>
  <c r="BJ75" i="7"/>
  <c r="BJ73" i="7"/>
  <c r="BH69" i="7"/>
  <c r="BJ76" i="7"/>
  <c r="BI74" i="7"/>
  <c r="DH86" i="7"/>
  <c r="DH87" i="7"/>
  <c r="X74" i="7"/>
  <c r="Y74" i="7" s="1"/>
  <c r="W74" i="7"/>
  <c r="S74" i="7" s="1"/>
  <c r="U74" i="7"/>
  <c r="V74" i="7"/>
  <c r="BG117" i="7"/>
  <c r="AC148" i="7"/>
  <c r="AG148" i="7"/>
  <c r="AF148" i="7"/>
  <c r="AH148" i="7" s="1"/>
  <c r="AC140" i="7"/>
  <c r="AG140" i="7"/>
  <c r="AC153" i="7"/>
  <c r="AG153" i="7" s="1"/>
  <c r="AF153" i="7" s="1"/>
  <c r="AH153" i="7" s="1"/>
  <c r="AC152" i="7"/>
  <c r="Y309" i="7"/>
  <c r="AG146" i="7"/>
  <c r="AR145" i="7"/>
  <c r="AR143" i="7"/>
  <c r="BH117" i="7"/>
  <c r="BR79" i="7"/>
  <c r="CU79" i="7" s="1"/>
  <c r="BR77" i="7"/>
  <c r="BR78" i="7"/>
  <c r="CU78" i="7"/>
  <c r="BH124" i="7"/>
  <c r="BH129" i="7"/>
  <c r="BH127" i="7"/>
  <c r="BH128" i="7"/>
  <c r="BH120" i="7"/>
  <c r="J165" i="7"/>
  <c r="BS79" i="7"/>
  <c r="CV79" i="7" s="1"/>
  <c r="BS77" i="7"/>
  <c r="BS78" i="7"/>
  <c r="BG120" i="7"/>
  <c r="BG124" i="7"/>
  <c r="BG127" i="7"/>
  <c r="BG126" i="7"/>
  <c r="BG128" i="7"/>
  <c r="BG129" i="7"/>
  <c r="BT79" i="7"/>
  <c r="BT77" i="7"/>
  <c r="AA77" i="7" s="1"/>
  <c r="BT78" i="7"/>
  <c r="AA78" i="7" s="1"/>
  <c r="AJ79" i="7"/>
  <c r="AJ77" i="7"/>
  <c r="AJ78" i="7"/>
  <c r="V77" i="7"/>
  <c r="X77" i="7"/>
  <c r="BV79" i="7"/>
  <c r="BG79" i="7" s="1"/>
  <c r="U78" i="7"/>
  <c r="W78" i="7"/>
  <c r="S78" i="7"/>
  <c r="V78" i="7"/>
  <c r="X78" i="7"/>
  <c r="Y78" i="7"/>
  <c r="W79" i="7"/>
  <c r="U79" i="7"/>
  <c r="T79" i="7"/>
  <c r="U77" i="7"/>
  <c r="W77" i="7"/>
  <c r="BV77" i="7"/>
  <c r="BG77" i="7"/>
  <c r="BV78" i="7"/>
  <c r="BG78" i="7" s="1"/>
  <c r="X79" i="7"/>
  <c r="Y79" i="7"/>
  <c r="R79" i="7"/>
  <c r="CI79" i="7" s="1"/>
  <c r="V79" i="7"/>
  <c r="BW77" i="7"/>
  <c r="BW78" i="7"/>
  <c r="BW79" i="7"/>
  <c r="BX77" i="7"/>
  <c r="BX78" i="7"/>
  <c r="BX79" i="7"/>
  <c r="AR79" i="7"/>
  <c r="DW79" i="7" s="1"/>
  <c r="AR78" i="7"/>
  <c r="DW78" i="7"/>
  <c r="AR77" i="7"/>
  <c r="DW77" i="7" s="1"/>
  <c r="BU79" i="7"/>
  <c r="BF79" i="7"/>
  <c r="BU78" i="7"/>
  <c r="BF78" i="7" s="1"/>
  <c r="BU77" i="7"/>
  <c r="BF77" i="7"/>
  <c r="AK78" i="7"/>
  <c r="AK77" i="7"/>
  <c r="BY78" i="7"/>
  <c r="BY77" i="7"/>
  <c r="BY79" i="7"/>
  <c r="AK79" i="7"/>
  <c r="BZ79" i="7"/>
  <c r="CT79" i="7"/>
  <c r="CC79" i="7"/>
  <c r="AC77" i="7"/>
  <c r="CB77" i="7"/>
  <c r="CB78" i="7"/>
  <c r="CB79" i="7"/>
  <c r="AC78" i="7"/>
  <c r="CC78" i="7"/>
  <c r="CC77" i="7"/>
  <c r="BZ77" i="7"/>
  <c r="CT77" i="7" s="1"/>
  <c r="BZ78" i="7"/>
  <c r="CT78" i="7"/>
  <c r="AC79" i="7"/>
  <c r="AG79" i="7"/>
  <c r="AG77" i="7"/>
  <c r="CD79" i="7"/>
  <c r="CD77" i="7"/>
  <c r="CD78" i="7"/>
  <c r="AG78" i="7"/>
  <c r="BG116" i="7"/>
  <c r="BH122" i="7"/>
  <c r="CO84" i="7"/>
  <c r="CP84" i="7"/>
  <c r="BF122" i="7"/>
  <c r="CH83" i="7"/>
  <c r="CP83" i="7"/>
  <c r="BZ83" i="7"/>
  <c r="EL83" i="7"/>
  <c r="EM83" i="7"/>
  <c r="AZ86" i="7"/>
  <c r="DE86" i="7"/>
  <c r="AG84" i="7"/>
  <c r="BI84" i="7"/>
  <c r="AP84" i="7"/>
  <c r="BZ84" i="7"/>
  <c r="AO84" i="7" s="1"/>
  <c r="EL84" i="7"/>
  <c r="EM84" i="7"/>
  <c r="BJ83" i="7"/>
  <c r="CO83" i="7"/>
  <c r="BY83" i="7"/>
  <c r="DC86" i="7"/>
  <c r="AC84" i="7"/>
  <c r="BH84" i="7"/>
  <c r="DH84" i="7"/>
  <c r="AV84" i="7"/>
  <c r="BA87" i="7"/>
  <c r="BH83" i="7"/>
  <c r="AM84" i="7"/>
  <c r="AT85" i="7"/>
  <c r="AU85" i="7"/>
  <c r="CY85" i="7" s="1"/>
  <c r="AS85" i="7"/>
  <c r="AW85" i="7"/>
  <c r="DT76" i="7"/>
  <c r="AX84" i="7"/>
  <c r="AW84" i="7"/>
  <c r="DE84" i="7"/>
  <c r="AS84" i="7"/>
  <c r="AV87" i="7"/>
  <c r="CW87" i="7" s="1"/>
  <c r="AT84" i="7"/>
  <c r="DD84" i="7"/>
  <c r="R74" i="7"/>
  <c r="CI74" i="7"/>
  <c r="AU87" i="7"/>
  <c r="DE87" i="7"/>
  <c r="CT85" i="7"/>
  <c r="BC75" i="7"/>
  <c r="DT75" i="7"/>
  <c r="CV87" i="7"/>
  <c r="CV73" i="7"/>
  <c r="S308" i="7"/>
  <c r="U308" i="7"/>
  <c r="AA308" i="7"/>
  <c r="DC84" i="7"/>
  <c r="DI84" i="7"/>
  <c r="Y308" i="7"/>
  <c r="DT73" i="7"/>
  <c r="AS143" i="7"/>
  <c r="AS141" i="7"/>
  <c r="AS151" i="7"/>
  <c r="AS149" i="7"/>
  <c r="AS147" i="7"/>
  <c r="DE77" i="7"/>
  <c r="AO86" i="7"/>
  <c r="W85" i="7"/>
  <c r="AZ83" i="7"/>
  <c r="BC83" i="7"/>
  <c r="DF83" i="7"/>
  <c r="BA85" i="7"/>
  <c r="CR85" i="7"/>
  <c r="CK85" i="7"/>
  <c r="BD85" i="7"/>
  <c r="DE83" i="7"/>
  <c r="AP85" i="7"/>
  <c r="AH85" i="7"/>
  <c r="AG85" i="7"/>
  <c r="U85" i="7"/>
  <c r="V85" i="7"/>
  <c r="K85" i="7"/>
  <c r="Q85" i="7"/>
  <c r="U86" i="7"/>
  <c r="EB83" i="7"/>
  <c r="AS139" i="7"/>
  <c r="AS144" i="7"/>
  <c r="AC279" i="7"/>
  <c r="AO124" i="7"/>
  <c r="M130" i="7"/>
  <c r="W130" i="7"/>
  <c r="J130" i="7"/>
  <c r="U130" i="7" s="1"/>
  <c r="K130" i="7"/>
  <c r="V130" i="7"/>
  <c r="AO117" i="7"/>
  <c r="AA279" i="7"/>
  <c r="AB279" i="7"/>
  <c r="BA83" i="7"/>
  <c r="AM83" i="7" s="1"/>
  <c r="AB83" i="7"/>
  <c r="EA79" i="7"/>
  <c r="EB79" i="7"/>
  <c r="EA78" i="7"/>
  <c r="EB78" i="7" s="1"/>
  <c r="DT72" i="7"/>
  <c r="DC72" i="7"/>
  <c r="DI72" i="7" s="1"/>
  <c r="EA77" i="7"/>
  <c r="EB77" i="7" s="1"/>
  <c r="EI77" i="7" s="1"/>
  <c r="DD72" i="7"/>
  <c r="EA72" i="7"/>
  <c r="EB72" i="7" s="1"/>
  <c r="AS87" i="7"/>
  <c r="DD85" i="7"/>
  <c r="AD85" i="7"/>
  <c r="CK87" i="7"/>
  <c r="AM87" i="7"/>
  <c r="AD87" i="7"/>
  <c r="AH87" i="7"/>
  <c r="DA87" i="7" s="1"/>
  <c r="AP87" i="7"/>
  <c r="BZ87" i="7"/>
  <c r="DC87" i="7"/>
  <c r="DI87" i="7"/>
  <c r="CP87" i="7"/>
  <c r="CQ87" i="7"/>
  <c r="CH87" i="7"/>
  <c r="CI87" i="7"/>
  <c r="BJ87" i="7"/>
  <c r="BH87" i="7"/>
  <c r="AG87" i="7"/>
  <c r="AC85" i="7"/>
  <c r="AC87" i="7"/>
  <c r="D28" i="12"/>
  <c r="BN81" i="7"/>
  <c r="BO81" i="7"/>
  <c r="EA76" i="7"/>
  <c r="AM85" i="7"/>
  <c r="AL85" i="7"/>
  <c r="AG149" i="7"/>
  <c r="EC85" i="7"/>
  <c r="EF82" i="7"/>
  <c r="EE82" i="7"/>
  <c r="AS142" i="7"/>
  <c r="AO85" i="7"/>
  <c r="AQ85" i="7"/>
  <c r="AF86" i="7"/>
  <c r="DF86" i="7"/>
  <c r="CJ86" i="7"/>
  <c r="AH86" i="7"/>
  <c r="AP86" i="7"/>
  <c r="CK86" i="7"/>
  <c r="AP123" i="7"/>
  <c r="AU123" i="7"/>
  <c r="EA86" i="7"/>
  <c r="EB86" i="7"/>
  <c r="T148" i="7"/>
  <c r="AU152" i="7"/>
  <c r="T311" i="7"/>
  <c r="Z311" i="7"/>
  <c r="T313" i="7"/>
  <c r="Z313" i="7" s="1"/>
  <c r="R315" i="7"/>
  <c r="X315" i="7"/>
  <c r="U320" i="7"/>
  <c r="AA320" i="7" s="1"/>
  <c r="DC83" i="7"/>
  <c r="DI83" i="7"/>
  <c r="DF84" i="7"/>
  <c r="DG84" i="7" s="1"/>
  <c r="DE85" i="7"/>
  <c r="DE80" i="7"/>
  <c r="R265" i="7"/>
  <c r="DD83" i="7"/>
  <c r="T321" i="7"/>
  <c r="Z321" i="7"/>
  <c r="R323" i="7"/>
  <c r="X323" i="7"/>
  <c r="AF140" i="7"/>
  <c r="AH140" i="7"/>
  <c r="T144" i="7"/>
  <c r="T147" i="7"/>
  <c r="V315" i="7"/>
  <c r="V329" i="7"/>
  <c r="AB329" i="7" s="1"/>
  <c r="V333" i="7"/>
  <c r="AB333" i="7"/>
  <c r="AL152" i="7"/>
  <c r="AQ152" i="7" s="1"/>
  <c r="CJ87" i="7"/>
  <c r="EO82" i="7"/>
  <c r="EN82" i="7" s="1"/>
  <c r="AT87" i="7"/>
  <c r="DD87" i="7"/>
  <c r="AU140" i="7"/>
  <c r="V323" i="7"/>
  <c r="AB323" i="7"/>
  <c r="DF87" i="7"/>
  <c r="AL83" i="7"/>
  <c r="E272" i="7"/>
  <c r="AG147" i="7"/>
  <c r="AF147" i="7" s="1"/>
  <c r="AH147" i="7" s="1"/>
  <c r="AN83" i="7"/>
  <c r="AG151" i="7"/>
  <c r="AF151" i="7" s="1"/>
  <c r="AH151" i="7" s="1"/>
  <c r="AS138" i="7"/>
  <c r="U316" i="7"/>
  <c r="S316" i="7"/>
  <c r="Y316" i="7" s="1"/>
  <c r="U332" i="7"/>
  <c r="AA332" i="7" s="1"/>
  <c r="S332" i="7"/>
  <c r="Y332" i="7"/>
  <c r="T77" i="7"/>
  <c r="AN140" i="7"/>
  <c r="AS140" i="7"/>
  <c r="AU148" i="7"/>
  <c r="U324" i="7"/>
  <c r="AA324" i="7"/>
  <c r="S324" i="7"/>
  <c r="Y324" i="7" s="1"/>
  <c r="AC73" i="7"/>
  <c r="AL139" i="7"/>
  <c r="AQ139" i="7"/>
  <c r="T139" i="7"/>
  <c r="AP141" i="7"/>
  <c r="AU141" i="7" s="1"/>
  <c r="AT153" i="7"/>
  <c r="T324" i="7"/>
  <c r="Z324" i="7"/>
  <c r="AN154" i="7"/>
  <c r="AS154" i="7" s="1"/>
  <c r="AM144" i="7"/>
  <c r="AR144" i="7" s="1"/>
  <c r="AN148" i="7"/>
  <c r="AS148" i="7" s="1"/>
  <c r="S331" i="7"/>
  <c r="Y331" i="7" s="1"/>
  <c r="AO142" i="7"/>
  <c r="AT142" i="7"/>
  <c r="T138" i="7"/>
  <c r="AT139" i="7"/>
  <c r="T142" i="7"/>
  <c r="T150" i="7"/>
  <c r="T151" i="7"/>
  <c r="T154" i="7"/>
  <c r="AM154" i="7" s="1"/>
  <c r="AR154" i="7"/>
  <c r="T155" i="7"/>
  <c r="AM155" i="7"/>
  <c r="T315" i="7"/>
  <c r="Z315" i="7" s="1"/>
  <c r="T323" i="7"/>
  <c r="Z323" i="7" s="1"/>
  <c r="BQ81" i="7"/>
  <c r="EA73" i="7"/>
  <c r="EB73" i="7" s="1"/>
  <c r="DD80" i="7"/>
  <c r="AB315" i="7"/>
  <c r="AM147" i="7"/>
  <c r="AR147" i="7"/>
  <c r="AM151" i="7"/>
  <c r="AR151" i="7" s="1"/>
  <c r="AM150" i="7"/>
  <c r="AR150" i="7" s="1"/>
  <c r="AA316" i="7"/>
  <c r="DY85" i="7"/>
  <c r="DZ85" i="7"/>
  <c r="V87" i="7"/>
  <c r="W87" i="7"/>
  <c r="DY87" i="7"/>
  <c r="DZ87" i="7"/>
  <c r="K87" i="7"/>
  <c r="Q87" i="7"/>
  <c r="DD71" i="7"/>
  <c r="DH69" i="7"/>
  <c r="EA71" i="7"/>
  <c r="EB71" i="7"/>
  <c r="DC71" i="7"/>
  <c r="DE71" i="7"/>
  <c r="DT71" i="7"/>
  <c r="DY71" i="7"/>
  <c r="DF71" i="7"/>
  <c r="K114" i="7"/>
  <c r="V114" i="7"/>
  <c r="M114" i="7"/>
  <c r="W114" i="7"/>
  <c r="AB137" i="7"/>
  <c r="S122" i="7"/>
  <c r="BG123" i="7"/>
  <c r="BG114" i="7"/>
  <c r="BH114" i="7"/>
  <c r="BH116" i="7"/>
  <c r="BF116" i="7"/>
  <c r="AP121" i="7"/>
  <c r="AU121" i="7" s="1"/>
  <c r="AT124" i="7"/>
  <c r="Z119" i="7"/>
  <c r="AA119" i="7"/>
  <c r="M119" i="7"/>
  <c r="W119" i="7" s="1"/>
  <c r="M118" i="7"/>
  <c r="W118" i="7"/>
  <c r="K119" i="7"/>
  <c r="V119" i="7" s="1"/>
  <c r="J119" i="7"/>
  <c r="U119" i="7"/>
  <c r="S119" i="7"/>
  <c r="AL119" i="7"/>
  <c r="AQ119" i="7" s="1"/>
  <c r="J118" i="7"/>
  <c r="U118" i="7" s="1"/>
  <c r="K118" i="7"/>
  <c r="V118" i="7"/>
  <c r="AO118" i="7" s="1"/>
  <c r="BH118" i="7"/>
  <c r="Z118" i="7"/>
  <c r="BG115" i="7"/>
  <c r="BG118" i="7"/>
  <c r="BH68" i="7"/>
  <c r="BH119" i="7"/>
  <c r="AP117" i="7"/>
  <c r="AU117" i="7" s="1"/>
  <c r="AP125" i="7"/>
  <c r="AU125" i="7"/>
  <c r="BF115" i="7"/>
  <c r="BH115" i="7"/>
  <c r="BH121" i="7"/>
  <c r="S124" i="7"/>
  <c r="AL124" i="7" s="1"/>
  <c r="BH125" i="7"/>
  <c r="BG125" i="7"/>
  <c r="BF125" i="7"/>
  <c r="BG130" i="7"/>
  <c r="BF130" i="7"/>
  <c r="BH130" i="7"/>
  <c r="AO126" i="7"/>
  <c r="AT126" i="7" s="1"/>
  <c r="S117" i="7"/>
  <c r="AL117" i="7"/>
  <c r="AQ117" i="7" s="1"/>
  <c r="S123" i="7"/>
  <c r="T123" i="7" s="1"/>
  <c r="BG119" i="7"/>
  <c r="AQ124" i="7"/>
  <c r="T124" i="7"/>
  <c r="K120" i="7"/>
  <c r="V120" i="7" s="1"/>
  <c r="M120" i="7"/>
  <c r="W120" i="7"/>
  <c r="J263" i="7"/>
  <c r="R263" i="7" s="1"/>
  <c r="Z120" i="7"/>
  <c r="S263" i="7"/>
  <c r="L261" i="7"/>
  <c r="AN117" i="7"/>
  <c r="AS117" i="7" s="1"/>
  <c r="AU116" i="7"/>
  <c r="AN120" i="7"/>
  <c r="AS120" i="7"/>
  <c r="BJ81" i="7"/>
  <c r="B11" i="7"/>
  <c r="BI81" i="7"/>
  <c r="BH81" i="7"/>
  <c r="T119" i="7"/>
  <c r="AM119" i="7"/>
  <c r="DY84" i="7"/>
  <c r="DZ84" i="7"/>
  <c r="DT86" i="7"/>
  <c r="DI85" i="7"/>
  <c r="DG83" i="7"/>
  <c r="AQ87" i="7"/>
  <c r="AS128" i="7"/>
  <c r="AN87" i="7"/>
  <c r="EA85" i="7"/>
  <c r="EB85" i="7"/>
  <c r="EA74" i="7"/>
  <c r="EB74" i="7" s="1"/>
  <c r="DX85" i="7"/>
  <c r="DD86" i="7"/>
  <c r="V80" i="7"/>
  <c r="X80" i="7"/>
  <c r="Y80" i="7" s="1"/>
  <c r="R80" i="7" s="1"/>
  <c r="CI80" i="7"/>
  <c r="DE72" i="7"/>
  <c r="DE73" i="7"/>
  <c r="DT79" i="7"/>
  <c r="DC79" i="7"/>
  <c r="DD77" i="7"/>
  <c r="DD81" i="7"/>
  <c r="DT83" i="7"/>
  <c r="DT84" i="7"/>
  <c r="DT80" i="7"/>
  <c r="DT85" i="7"/>
  <c r="DE81" i="7"/>
  <c r="DC81" i="7"/>
  <c r="DI81" i="7" s="1"/>
  <c r="EA81" i="7"/>
  <c r="EB81" i="7"/>
  <c r="DF81" i="7"/>
  <c r="DG81" i="7" s="1"/>
  <c r="DY81" i="7"/>
  <c r="DT81" i="7"/>
  <c r="BT81" i="7"/>
  <c r="Z81" i="7" s="1"/>
  <c r="DY86" i="7"/>
  <c r="DZ86" i="7"/>
  <c r="T117" i="7"/>
  <c r="DD79" i="7"/>
  <c r="AO119" i="7"/>
  <c r="CT87" i="7"/>
  <c r="AO127" i="7"/>
  <c r="AT127" i="7"/>
  <c r="DX87" i="7"/>
  <c r="DZ83" i="7"/>
  <c r="EA87" i="7"/>
  <c r="EB87" i="7"/>
  <c r="EA84" i="7"/>
  <c r="EB84" i="7"/>
  <c r="AF149" i="7"/>
  <c r="AH149" i="7" s="1"/>
  <c r="CR87" i="7"/>
  <c r="AB85" i="7"/>
  <c r="DF85" i="7"/>
  <c r="DG85" i="7"/>
  <c r="DC80" i="7"/>
  <c r="DG80" i="7" s="1"/>
  <c r="AU122" i="7"/>
  <c r="DT74" i="7"/>
  <c r="DC77" i="7"/>
  <c r="DI77" i="7" s="1"/>
  <c r="AF142" i="7"/>
  <c r="AH142" i="7" s="1"/>
  <c r="AO137" i="7"/>
  <c r="BH137" i="7"/>
  <c r="S85" i="7"/>
  <c r="T78" i="7"/>
  <c r="AO145" i="7"/>
  <c r="AT145" i="7" s="1"/>
  <c r="AO151" i="7"/>
  <c r="AT151" i="7" s="1"/>
  <c r="S310" i="7"/>
  <c r="Y310" i="7"/>
  <c r="T316" i="7"/>
  <c r="Z316" i="7" s="1"/>
  <c r="S322" i="7"/>
  <c r="Y322" i="7"/>
  <c r="S330" i="7"/>
  <c r="Y330" i="7" s="1"/>
  <c r="S334" i="7"/>
  <c r="Y334" i="7"/>
  <c r="AU143" i="7"/>
  <c r="S312" i="7"/>
  <c r="Y312" i="7"/>
  <c r="S314" i="7"/>
  <c r="Y314" i="7"/>
  <c r="S318" i="7"/>
  <c r="Y318" i="7"/>
  <c r="S326" i="7"/>
  <c r="Y326" i="7"/>
  <c r="DF72" i="7"/>
  <c r="BS81" i="7"/>
  <c r="CV81" i="7" s="1"/>
  <c r="EA80" i="7"/>
  <c r="EB80" i="7"/>
  <c r="DY72" i="7"/>
  <c r="DZ72" i="7" s="1"/>
  <c r="DT78" i="7"/>
  <c r="U305" i="7"/>
  <c r="DT87" i="7"/>
  <c r="AF143" i="7"/>
  <c r="AH143" i="7" s="1"/>
  <c r="BR81" i="7"/>
  <c r="CU81" i="7" s="1"/>
  <c r="AJ81" i="7"/>
  <c r="V81" i="7"/>
  <c r="BV81" i="7"/>
  <c r="BG81" i="7" s="1"/>
  <c r="X81" i="7"/>
  <c r="Y81" i="7" s="1"/>
  <c r="R81" i="7" s="1"/>
  <c r="CI81" i="7"/>
  <c r="BW81" i="7"/>
  <c r="BX81" i="7"/>
  <c r="AR81" i="7"/>
  <c r="DW81" i="7"/>
  <c r="BU81" i="7"/>
  <c r="BF81" i="7" s="1"/>
  <c r="BY81" i="7"/>
  <c r="AK81" i="7"/>
  <c r="U81" i="7"/>
  <c r="W81" i="7"/>
  <c r="CC81" i="7"/>
  <c r="CB81" i="7"/>
  <c r="BZ81" i="7"/>
  <c r="AC81" i="7"/>
  <c r="AG81" i="7"/>
  <c r="CD81" i="7"/>
  <c r="DD76" i="7"/>
  <c r="DE76" i="7"/>
  <c r="DY77" i="7"/>
  <c r="DE79" i="7"/>
  <c r="DE75" i="7"/>
  <c r="DD75" i="7"/>
  <c r="DC75" i="7"/>
  <c r="DI75" i="7" s="1"/>
  <c r="DY75" i="7"/>
  <c r="DC76" i="7"/>
  <c r="DI76" i="7" s="1"/>
  <c r="R76" i="7"/>
  <c r="CI76" i="7" s="1"/>
  <c r="DY79" i="7"/>
  <c r="F38" i="7"/>
  <c r="L38" i="7"/>
  <c r="DC74" i="7"/>
  <c r="DI74" i="7"/>
  <c r="DY76" i="7"/>
  <c r="DZ76" i="7"/>
  <c r="DY80" i="7"/>
  <c r="DZ80" i="7"/>
  <c r="DY74" i="7"/>
  <c r="DZ74" i="7"/>
  <c r="S306" i="7"/>
  <c r="Y306" i="7"/>
  <c r="T306" i="7"/>
  <c r="Z306" i="7"/>
  <c r="V306" i="7"/>
  <c r="AB306" i="7"/>
  <c r="DF73" i="7"/>
  <c r="DT77" i="7"/>
  <c r="DF78" i="7"/>
  <c r="DF74" i="7"/>
  <c r="DY73" i="7"/>
  <c r="DC73" i="7"/>
  <c r="DI73" i="7" s="1"/>
  <c r="L262" i="7"/>
  <c r="R262" i="7" s="1"/>
  <c r="DF79" i="7"/>
  <c r="DE74" i="7"/>
  <c r="DE78" i="7"/>
  <c r="DF76" i="7"/>
  <c r="DD73" i="7"/>
  <c r="DY78" i="7"/>
  <c r="DZ78" i="7"/>
  <c r="DD74" i="7"/>
  <c r="DD78" i="7"/>
  <c r="DC78" i="7"/>
  <c r="DF75" i="7"/>
  <c r="DF80" i="7"/>
  <c r="DF77" i="7"/>
  <c r="AE306" i="7"/>
  <c r="AE307" i="7"/>
  <c r="AE308" i="7"/>
  <c r="AE309" i="7"/>
  <c r="AE310" i="7"/>
  <c r="AE311" i="7"/>
  <c r="AE312" i="7"/>
  <c r="AE313" i="7"/>
  <c r="AE314" i="7"/>
  <c r="AE315" i="7"/>
  <c r="AE316" i="7"/>
  <c r="AE317" i="7"/>
  <c r="AE318" i="7"/>
  <c r="AE319" i="7"/>
  <c r="AE320" i="7"/>
  <c r="AE321" i="7"/>
  <c r="AE322" i="7"/>
  <c r="AE323" i="7"/>
  <c r="AE324" i="7"/>
  <c r="AE325" i="7"/>
  <c r="AE326" i="7"/>
  <c r="AE327" i="7"/>
  <c r="AE328" i="7"/>
  <c r="AE329" i="7"/>
  <c r="AE330" i="7"/>
  <c r="AE331" i="7"/>
  <c r="AE332" i="7"/>
  <c r="AE334" i="7"/>
  <c r="AE333" i="7"/>
  <c r="T137" i="7"/>
  <c r="AQ137" i="7"/>
  <c r="BP81" i="7"/>
  <c r="BP78" i="7"/>
  <c r="DX79" i="7"/>
  <c r="BF113" i="7"/>
  <c r="Z73" i="7"/>
  <c r="AZ73" i="7" s="1"/>
  <c r="K79" i="7"/>
  <c r="Q79" i="7" s="1"/>
  <c r="DV78" i="7"/>
  <c r="DH71" i="7"/>
  <c r="BH71" i="7"/>
  <c r="T81" i="7"/>
  <c r="T74" i="7"/>
  <c r="J74" i="7"/>
  <c r="DU74" i="7" s="1"/>
  <c r="DV73" i="7"/>
  <c r="DV74" i="7"/>
  <c r="Z78" i="7"/>
  <c r="AZ78" i="7" s="1"/>
  <c r="BP72" i="7"/>
  <c r="BO72" i="7"/>
  <c r="AV72" i="7" s="1"/>
  <c r="AX72" i="7"/>
  <c r="J78" i="7"/>
  <c r="DU78" i="7" s="1"/>
  <c r="J73" i="7"/>
  <c r="DU73" i="7" s="1"/>
  <c r="BP73" i="7"/>
  <c r="BO73" i="7"/>
  <c r="AT73" i="7"/>
  <c r="BO74" i="7"/>
  <c r="AW74" i="7" s="1"/>
  <c r="BP74" i="7"/>
  <c r="CT73" i="7"/>
  <c r="DZ77" i="7"/>
  <c r="CT72" i="7"/>
  <c r="CT81" i="7"/>
  <c r="DV81" i="7"/>
  <c r="DG72" i="7"/>
  <c r="Y72" i="7"/>
  <c r="R72" i="7" s="1"/>
  <c r="CI72" i="7" s="1"/>
  <c r="J76" i="7"/>
  <c r="DU76" i="7"/>
  <c r="T76" i="7"/>
  <c r="DV76" i="7"/>
  <c r="S80" i="7"/>
  <c r="J80" i="7"/>
  <c r="DU80" i="7"/>
  <c r="DV80" i="7"/>
  <c r="T75" i="7"/>
  <c r="DV75" i="7"/>
  <c r="CU77" i="7"/>
  <c r="AA72" i="7"/>
  <c r="BD72" i="7"/>
  <c r="Z72" i="7"/>
  <c r="BC72" i="7" s="1"/>
  <c r="CV76" i="7"/>
  <c r="CT74" i="7"/>
  <c r="BC80" i="7"/>
  <c r="CV77" i="7"/>
  <c r="BA77" i="7"/>
  <c r="Z77" i="7"/>
  <c r="BC77" i="7" s="1"/>
  <c r="BC74" i="7"/>
  <c r="AZ74" i="7"/>
  <c r="E27" i="12"/>
  <c r="D29" i="12"/>
  <c r="Y75" i="7"/>
  <c r="R75" i="7" s="1"/>
  <c r="CI75" i="7"/>
  <c r="K75" i="7"/>
  <c r="Q75" i="7" s="1"/>
  <c r="AM137" i="7"/>
  <c r="AR137" i="7"/>
  <c r="BH113" i="7"/>
  <c r="BG113" i="7"/>
  <c r="BI69" i="7"/>
  <c r="S305" i="7"/>
  <c r="Y305" i="7" s="1"/>
  <c r="T305" i="7"/>
  <c r="Z305" i="7"/>
  <c r="Z336" i="7" s="1"/>
  <c r="V305" i="7"/>
  <c r="R305" i="7"/>
  <c r="AN118" i="7"/>
  <c r="AO120" i="7"/>
  <c r="S87" i="7"/>
  <c r="DU87" i="7"/>
  <c r="ED87" i="7"/>
  <c r="DV87" i="7"/>
  <c r="EC87" i="7"/>
  <c r="EK87" i="7" s="1"/>
  <c r="EO87" i="7" s="1"/>
  <c r="AO87" i="7"/>
  <c r="CS85" i="7"/>
  <c r="AF87" i="7"/>
  <c r="AL87" i="7"/>
  <c r="T86" i="7"/>
  <c r="AX85" i="7"/>
  <c r="CW85" i="7"/>
  <c r="CW84" i="7"/>
  <c r="AO116" i="7"/>
  <c r="AT116" i="7" s="1"/>
  <c r="BO121" i="7"/>
  <c r="BO124" i="7"/>
  <c r="CX84" i="7"/>
  <c r="BO117" i="7"/>
  <c r="BO129" i="7"/>
  <c r="BO120" i="7"/>
  <c r="CX85" i="7"/>
  <c r="T336" i="7"/>
  <c r="G44" i="7" s="1"/>
  <c r="AT137" i="7"/>
  <c r="BG137" i="7"/>
  <c r="ED85" i="7"/>
  <c r="EF85" i="7" s="1"/>
  <c r="DV77" i="7"/>
  <c r="X305" i="7"/>
  <c r="AA305" i="7"/>
  <c r="BJ71" i="7"/>
  <c r="K76" i="7"/>
  <c r="Q76" i="7" s="1"/>
  <c r="EC76" i="7"/>
  <c r="EK76" i="7"/>
  <c r="AA79" i="7"/>
  <c r="BA79" i="7" s="1"/>
  <c r="Z79" i="7"/>
  <c r="BC79" i="7" s="1"/>
  <c r="CV78" i="7"/>
  <c r="CT80" i="7"/>
  <c r="CV80" i="7"/>
  <c r="BP80" i="7"/>
  <c r="BO80" i="7"/>
  <c r="AU80" i="7"/>
  <c r="CY80" i="7" s="1"/>
  <c r="AT72" i="7"/>
  <c r="DW80" i="7"/>
  <c r="DG76" i="7"/>
  <c r="S81" i="7"/>
  <c r="K78" i="7"/>
  <c r="Q78" i="7"/>
  <c r="DX78" i="7"/>
  <c r="EC78" i="7"/>
  <c r="Y77" i="7"/>
  <c r="R77" i="7" s="1"/>
  <c r="CI77" i="7"/>
  <c r="DX77" i="7"/>
  <c r="K77" i="7"/>
  <c r="Q77" i="7" s="1"/>
  <c r="DX73" i="7"/>
  <c r="K73" i="7"/>
  <c r="Q73" i="7"/>
  <c r="T72" i="7"/>
  <c r="EC75" i="7"/>
  <c r="EK75" i="7"/>
  <c r="EO75" i="7" s="1"/>
  <c r="J75" i="7"/>
  <c r="DU75" i="7"/>
  <c r="CT75" i="7"/>
  <c r="CU80" i="7"/>
  <c r="CU72" i="7"/>
  <c r="EC74" i="7"/>
  <c r="EF74" i="7" s="1"/>
  <c r="BP79" i="7"/>
  <c r="BO79" i="7"/>
  <c r="AS79" i="7"/>
  <c r="DG71" i="7"/>
  <c r="DI71" i="7"/>
  <c r="EC77" i="7"/>
  <c r="EK77" i="7" s="1"/>
  <c r="J77" i="7"/>
  <c r="DU77" i="7" s="1"/>
  <c r="S77" i="7"/>
  <c r="T73" i="7"/>
  <c r="EC73" i="7"/>
  <c r="EK73" i="7" s="1"/>
  <c r="BP77" i="7"/>
  <c r="BO77" i="7"/>
  <c r="AT77" i="7"/>
  <c r="BA76" i="7"/>
  <c r="DG74" i="7"/>
  <c r="BN69" i="7"/>
  <c r="BN70" i="7"/>
  <c r="BP70" i="7" s="1"/>
  <c r="BN71" i="7"/>
  <c r="BP71" i="7" s="1"/>
  <c r="BQ69" i="7"/>
  <c r="BQ70" i="7"/>
  <c r="BQ71" i="7"/>
  <c r="BR71" i="7"/>
  <c r="CU71" i="7"/>
  <c r="BR70" i="7"/>
  <c r="CU70" i="7"/>
  <c r="BR69" i="7"/>
  <c r="CU69" i="7"/>
  <c r="BS70" i="7"/>
  <c r="CV70" i="7"/>
  <c r="BS69" i="7"/>
  <c r="CV69" i="7"/>
  <c r="BS71" i="7"/>
  <c r="CV71" i="7"/>
  <c r="BT71" i="7"/>
  <c r="Z71" i="7"/>
  <c r="BC71" i="7" s="1"/>
  <c r="BT70" i="7"/>
  <c r="Z70" i="7"/>
  <c r="BT69" i="7"/>
  <c r="AJ71" i="7"/>
  <c r="AJ70" i="7"/>
  <c r="AJ69" i="7"/>
  <c r="BV70" i="7"/>
  <c r="BG70" i="7"/>
  <c r="BV69" i="7"/>
  <c r="BG69" i="7"/>
  <c r="BV71" i="7"/>
  <c r="BG71" i="7"/>
  <c r="W70" i="7"/>
  <c r="S70" i="7"/>
  <c r="U70" i="7"/>
  <c r="V70" i="7"/>
  <c r="X70" i="7"/>
  <c r="Y70" i="7"/>
  <c r="R70" i="7" s="1"/>
  <c r="CI70" i="7"/>
  <c r="V71" i="7"/>
  <c r="DX71" i="7"/>
  <c r="X71" i="7"/>
  <c r="Y71" i="7"/>
  <c r="R71" i="7" s="1"/>
  <c r="CI71" i="7"/>
  <c r="BW69" i="7"/>
  <c r="BW70" i="7"/>
  <c r="BW71" i="7"/>
  <c r="DY70" i="7"/>
  <c r="DZ70" i="7" s="1"/>
  <c r="DT70" i="7"/>
  <c r="BX71" i="7"/>
  <c r="BX69" i="7"/>
  <c r="BX70" i="7"/>
  <c r="AR69" i="7"/>
  <c r="DW69" i="7" s="1"/>
  <c r="AR70" i="7"/>
  <c r="DW70" i="7" s="1"/>
  <c r="AR71" i="7"/>
  <c r="DW71" i="7" s="1"/>
  <c r="BU69" i="7"/>
  <c r="BF69" i="7" s="1"/>
  <c r="BU70" i="7"/>
  <c r="BF70" i="7" s="1"/>
  <c r="BU71" i="7"/>
  <c r="BF71" i="7" s="1"/>
  <c r="EA70" i="7"/>
  <c r="EB70" i="7" s="1"/>
  <c r="W71" i="7"/>
  <c r="S71" i="7" s="1"/>
  <c r="U71" i="7"/>
  <c r="BY69" i="7"/>
  <c r="BY71" i="7"/>
  <c r="BY70" i="7"/>
  <c r="AK70" i="7"/>
  <c r="AK69" i="7"/>
  <c r="AK71" i="7"/>
  <c r="BZ70" i="7"/>
  <c r="CT70" i="7"/>
  <c r="BZ69" i="7"/>
  <c r="BZ71" i="7"/>
  <c r="CT71" i="7" s="1"/>
  <c r="CB71" i="7"/>
  <c r="CB70" i="7"/>
  <c r="CB69" i="7"/>
  <c r="CC69" i="7"/>
  <c r="CC70" i="7"/>
  <c r="CC71" i="7"/>
  <c r="AC71" i="7"/>
  <c r="CD69" i="7"/>
  <c r="CD71" i="7"/>
  <c r="CD70" i="7"/>
  <c r="DF70" i="7"/>
  <c r="DG70" i="7" s="1"/>
  <c r="AG71" i="7"/>
  <c r="DD70" i="7"/>
  <c r="DE70" i="7"/>
  <c r="DC70" i="7"/>
  <c r="AE305" i="7"/>
  <c r="AE336" i="7" s="1"/>
  <c r="CT76" i="7"/>
  <c r="AU77" i="7"/>
  <c r="BC73" i="7"/>
  <c r="AS73" i="7"/>
  <c r="BN68" i="7"/>
  <c r="BO68" i="7" s="1"/>
  <c r="BQ68" i="7"/>
  <c r="BR68" i="7"/>
  <c r="CU68" i="7"/>
  <c r="CU88" i="7" s="1"/>
  <c r="K99" i="7" s="1"/>
  <c r="BS68" i="7"/>
  <c r="CV68" i="7"/>
  <c r="BT68" i="7"/>
  <c r="Z68" i="7"/>
  <c r="AZ68" i="7" s="1"/>
  <c r="AJ68" i="7"/>
  <c r="BV68" i="7"/>
  <c r="BW68" i="7"/>
  <c r="BX68" i="7"/>
  <c r="AR68" i="7"/>
  <c r="DW68" i="7"/>
  <c r="BU68" i="7"/>
  <c r="BF68" i="7"/>
  <c r="AK68" i="7"/>
  <c r="BY68" i="7"/>
  <c r="CB68" i="7"/>
  <c r="CC68" i="7"/>
  <c r="BZ68" i="7"/>
  <c r="CD68" i="7"/>
  <c r="DH68" i="7"/>
  <c r="AW77" i="7"/>
  <c r="AS77" i="7"/>
  <c r="DX81" i="7"/>
  <c r="AS72" i="7"/>
  <c r="CW72" i="7"/>
  <c r="AW72" i="7"/>
  <c r="CX72" i="7" s="1"/>
  <c r="AZ72" i="7"/>
  <c r="BC78" i="7"/>
  <c r="EC80" i="7"/>
  <c r="EK80" i="7" s="1"/>
  <c r="AT74" i="7"/>
  <c r="CX74" i="7" s="1"/>
  <c r="AX74" i="7"/>
  <c r="AV77" i="7"/>
  <c r="AX77" i="7"/>
  <c r="EC81" i="7"/>
  <c r="EK81" i="7"/>
  <c r="AS74" i="7"/>
  <c r="AV79" i="7"/>
  <c r="T70" i="7"/>
  <c r="AX80" i="7"/>
  <c r="AV80" i="7"/>
  <c r="BD77" i="7"/>
  <c r="AO77" i="7" s="1"/>
  <c r="AV73" i="7"/>
  <c r="CW73" i="7"/>
  <c r="AU73" i="7"/>
  <c r="BA72" i="7"/>
  <c r="AW73" i="7"/>
  <c r="DV70" i="7"/>
  <c r="AT80" i="7"/>
  <c r="AS80" i="7"/>
  <c r="CW80" i="7" s="1"/>
  <c r="AW80" i="7"/>
  <c r="T71" i="7"/>
  <c r="K80" i="7"/>
  <c r="Q80" i="7" s="1"/>
  <c r="DG73" i="7"/>
  <c r="AU79" i="7"/>
  <c r="DI78" i="7"/>
  <c r="K81" i="7"/>
  <c r="Q81" i="7" s="1"/>
  <c r="AU72" i="7"/>
  <c r="CY72" i="7"/>
  <c r="AU74" i="7"/>
  <c r="AA81" i="7"/>
  <c r="BA81" i="7"/>
  <c r="AT79" i="7"/>
  <c r="BO71" i="7"/>
  <c r="AU71" i="7"/>
  <c r="CY71" i="7" s="1"/>
  <c r="AZ79" i="7"/>
  <c r="AA70" i="7"/>
  <c r="BD70" i="7"/>
  <c r="S115" i="7"/>
  <c r="AL115" i="7" s="1"/>
  <c r="AQ115" i="7" s="1"/>
  <c r="K115" i="7"/>
  <c r="V115" i="7" s="1"/>
  <c r="M115" i="7"/>
  <c r="W115" i="7"/>
  <c r="AU115" i="7" s="1"/>
  <c r="AP115" i="7"/>
  <c r="J115" i="7"/>
  <c r="U115" i="7"/>
  <c r="AO114" i="7"/>
  <c r="AT114" i="7"/>
  <c r="AP130" i="7"/>
  <c r="AU130" i="7" s="1"/>
  <c r="AN125" i="7"/>
  <c r="AS125" i="7"/>
  <c r="BO125" i="7"/>
  <c r="AN127" i="7"/>
  <c r="AS127" i="7"/>
  <c r="BO127" i="7"/>
  <c r="BO126" i="7"/>
  <c r="AN126" i="7"/>
  <c r="AS126" i="7"/>
  <c r="AN122" i="7"/>
  <c r="AS122" i="7"/>
  <c r="BO122" i="7"/>
  <c r="AO125" i="7"/>
  <c r="AT125" i="7"/>
  <c r="T114" i="7"/>
  <c r="AL114" i="7"/>
  <c r="AQ114" i="7" s="1"/>
  <c r="AN116" i="7"/>
  <c r="AS116" i="7"/>
  <c r="BO116" i="7"/>
  <c r="AM123" i="7"/>
  <c r="AR123" i="7"/>
  <c r="AU118" i="7"/>
  <c r="AP118" i="7"/>
  <c r="AP128" i="7"/>
  <c r="AU128" i="7"/>
  <c r="AP124" i="7"/>
  <c r="AU124" i="7" s="1"/>
  <c r="AP129" i="7"/>
  <c r="AU129" i="7"/>
  <c r="T116" i="7"/>
  <c r="AL116" i="7"/>
  <c r="AQ116" i="7"/>
  <c r="AP126" i="7"/>
  <c r="AU126" i="7" s="1"/>
  <c r="T129" i="7"/>
  <c r="AL129" i="7"/>
  <c r="AQ129" i="7"/>
  <c r="AP120" i="7"/>
  <c r="AU120" i="7"/>
  <c r="AP119" i="7"/>
  <c r="AU119" i="7"/>
  <c r="AO129" i="7"/>
  <c r="AT129" i="7"/>
  <c r="AL118" i="7"/>
  <c r="AQ118" i="7" s="1"/>
  <c r="T118" i="7"/>
  <c r="AO121" i="7"/>
  <c r="AT121" i="7" s="1"/>
  <c r="S126" i="7"/>
  <c r="Y126" i="7"/>
  <c r="AP114" i="7"/>
  <c r="AU114" i="7" s="1"/>
  <c r="AN130" i="7"/>
  <c r="AS130" i="7"/>
  <c r="BO130" i="7"/>
  <c r="AN123" i="7"/>
  <c r="AS123" i="7"/>
  <c r="BO123" i="7"/>
  <c r="BO114" i="7"/>
  <c r="AN114" i="7"/>
  <c r="S121" i="7"/>
  <c r="Y121" i="7"/>
  <c r="T125" i="7"/>
  <c r="AL125" i="7"/>
  <c r="AQ125" i="7"/>
  <c r="AQ127" i="7"/>
  <c r="T127" i="7"/>
  <c r="AL127" i="7"/>
  <c r="T128" i="7"/>
  <c r="AM128" i="7" s="1"/>
  <c r="AL128" i="7"/>
  <c r="AQ128" i="7" s="1"/>
  <c r="AR119" i="7"/>
  <c r="Y116" i="7"/>
  <c r="Y114" i="7"/>
  <c r="Z114" i="7"/>
  <c r="AA114" i="7"/>
  <c r="Y129" i="7"/>
  <c r="Y130" i="7"/>
  <c r="Z130" i="7"/>
  <c r="AT118" i="7"/>
  <c r="Y115" i="7"/>
  <c r="Z115" i="7"/>
  <c r="AL123" i="7"/>
  <c r="AQ123" i="7"/>
  <c r="Y125" i="7"/>
  <c r="AB121" i="7"/>
  <c r="AA125" i="7"/>
  <c r="Q130" i="7"/>
  <c r="R130" i="7"/>
  <c r="AA118" i="7"/>
  <c r="AA120" i="7"/>
  <c r="AB122" i="7"/>
  <c r="AC122" i="7" s="1"/>
  <c r="AG122" i="7" s="1"/>
  <c r="AA124" i="7"/>
  <c r="AC124" i="7" s="1"/>
  <c r="AG124" i="7" s="1"/>
  <c r="AA126" i="7"/>
  <c r="Y119" i="7"/>
  <c r="Q119" i="7"/>
  <c r="R119" i="7"/>
  <c r="Q123" i="7"/>
  <c r="R123" i="7" s="1"/>
  <c r="Y123" i="7"/>
  <c r="AC125" i="7"/>
  <c r="Q128" i="7"/>
  <c r="R128" i="7" s="1"/>
  <c r="Y128" i="7"/>
  <c r="Q127" i="7"/>
  <c r="R127" i="7" s="1"/>
  <c r="Y127" i="7"/>
  <c r="Q118" i="7"/>
  <c r="R118" i="7"/>
  <c r="Y118" i="7"/>
  <c r="AB120" i="7"/>
  <c r="AC120" i="7"/>
  <c r="AA121" i="7"/>
  <c r="AC121" i="7" s="1"/>
  <c r="AB124" i="7"/>
  <c r="AB119" i="7"/>
  <c r="AC119" i="7"/>
  <c r="AF119" i="7" s="1"/>
  <c r="AH119" i="7" s="1"/>
  <c r="AG119" i="7"/>
  <c r="AB126" i="7"/>
  <c r="AC126" i="7" s="1"/>
  <c r="AB123" i="7"/>
  <c r="AC123" i="7" s="1"/>
  <c r="AB118" i="7"/>
  <c r="AA122" i="7"/>
  <c r="AD116" i="7"/>
  <c r="AE116" i="7"/>
  <c r="Q116" i="7"/>
  <c r="R116" i="7" s="1"/>
  <c r="AA129" i="7"/>
  <c r="AC129" i="7" s="1"/>
  <c r="AB117" i="7"/>
  <c r="AC117" i="7" s="1"/>
  <c r="AA117" i="7"/>
  <c r="AA116" i="7"/>
  <c r="AA127" i="7"/>
  <c r="AB127" i="7"/>
  <c r="AB129" i="7"/>
  <c r="AB116" i="7"/>
  <c r="Q120" i="7"/>
  <c r="R120" i="7" s="1"/>
  <c r="AD120" i="7"/>
  <c r="AE120" i="7"/>
  <c r="AD122" i="7"/>
  <c r="AE122" i="7" s="1"/>
  <c r="Q122" i="7"/>
  <c r="R122" i="7"/>
  <c r="Q121" i="7"/>
  <c r="R121" i="7" s="1"/>
  <c r="AD121" i="7"/>
  <c r="AE121" i="7"/>
  <c r="AD124" i="7"/>
  <c r="AE124" i="7" s="1"/>
  <c r="Q124" i="7"/>
  <c r="R124" i="7"/>
  <c r="Q115" i="7"/>
  <c r="R115" i="7" s="1"/>
  <c r="AD115" i="7"/>
  <c r="AE115" i="7"/>
  <c r="AD125" i="7"/>
  <c r="AE125" i="7" s="1"/>
  <c r="Q125" i="7"/>
  <c r="R125" i="7"/>
  <c r="AD126" i="7"/>
  <c r="AE126" i="7" s="1"/>
  <c r="Q126" i="7"/>
  <c r="R126" i="7"/>
  <c r="AD114" i="7"/>
  <c r="AE114" i="7" s="1"/>
  <c r="Q114" i="7"/>
  <c r="R114" i="7"/>
  <c r="AD117" i="7"/>
  <c r="AE117" i="7" s="1"/>
  <c r="Q117" i="7"/>
  <c r="R117" i="7"/>
  <c r="AB114" i="7"/>
  <c r="AC114" i="7" s="1"/>
  <c r="AG114" i="7" s="1"/>
  <c r="AN115" i="7"/>
  <c r="T115" i="7"/>
  <c r="AR115" i="7" s="1"/>
  <c r="AM115" i="7"/>
  <c r="AM127" i="7"/>
  <c r="T126" i="7"/>
  <c r="AL126" i="7"/>
  <c r="AQ126" i="7" s="1"/>
  <c r="AM129" i="7"/>
  <c r="AR129" i="7"/>
  <c r="AL121" i="7"/>
  <c r="AQ121" i="7" s="1"/>
  <c r="T121" i="7"/>
  <c r="AM116" i="7"/>
  <c r="AR116" i="7" s="1"/>
  <c r="AS114" i="7"/>
  <c r="AM118" i="7"/>
  <c r="AC118" i="7"/>
  <c r="AG118" i="7"/>
  <c r="AF118" i="7"/>
  <c r="AH118" i="7" s="1"/>
  <c r="AF114" i="7"/>
  <c r="AH114" i="7" s="1"/>
  <c r="AC127" i="7"/>
  <c r="AG127" i="7"/>
  <c r="AF127" i="7"/>
  <c r="AH127" i="7" s="1"/>
  <c r="AM121" i="7"/>
  <c r="CT69" i="7"/>
  <c r="BD80" i="7"/>
  <c r="BA80" i="7"/>
  <c r="CW77" i="7"/>
  <c r="AX79" i="7"/>
  <c r="CY79" i="7"/>
  <c r="AA68" i="7"/>
  <c r="CJ80" i="7"/>
  <c r="J70" i="7"/>
  <c r="DU70" i="7"/>
  <c r="CJ74" i="7"/>
  <c r="DG78" i="7"/>
  <c r="AS71" i="7"/>
  <c r="AV71" i="7"/>
  <c r="DD69" i="7"/>
  <c r="DE69" i="7"/>
  <c r="AT71" i="7"/>
  <c r="AX71" i="7"/>
  <c r="K71" i="7"/>
  <c r="Q71" i="7"/>
  <c r="AZ77" i="7"/>
  <c r="DX80" i="7"/>
  <c r="AV74" i="7"/>
  <c r="CW74" i="7"/>
  <c r="DG75" i="7"/>
  <c r="J81" i="7"/>
  <c r="DU81" i="7"/>
  <c r="ED81" i="7" s="1"/>
  <c r="EF81" i="7" s="1"/>
  <c r="EH81" i="7"/>
  <c r="EI81" i="7" s="1"/>
  <c r="D105" i="7"/>
  <c r="CJ79" i="7"/>
  <c r="AA71" i="7"/>
  <c r="BA71" i="7"/>
  <c r="BD79" i="7"/>
  <c r="CY77" i="7"/>
  <c r="BA73" i="7"/>
  <c r="BD73" i="7"/>
  <c r="AI73" i="7" s="1"/>
  <c r="AA69" i="7"/>
  <c r="Z69" i="7"/>
  <c r="BC69" i="7"/>
  <c r="BD71" i="7"/>
  <c r="AW79" i="7"/>
  <c r="CX79" i="7" s="1"/>
  <c r="AX73" i="7"/>
  <c r="CY73" i="7"/>
  <c r="P38" i="7"/>
  <c r="D104" i="7"/>
  <c r="EG81" i="7"/>
  <c r="DC69" i="7"/>
  <c r="D103" i="7"/>
  <c r="AZ69" i="7"/>
  <c r="EA69" i="7"/>
  <c r="EB69" i="7"/>
  <c r="AG69" i="7"/>
  <c r="DF69" i="7"/>
  <c r="DI69" i="7"/>
  <c r="AC69" i="7"/>
  <c r="DY69" i="7"/>
  <c r="DT69" i="7"/>
  <c r="J113" i="7"/>
  <c r="U113" i="7" s="1"/>
  <c r="M113" i="7"/>
  <c r="W113" i="7"/>
  <c r="S113" i="7"/>
  <c r="K113" i="7"/>
  <c r="V113" i="7"/>
  <c r="AL113" i="7"/>
  <c r="AQ113" i="7"/>
  <c r="Q113" i="7"/>
  <c r="Y113" i="7"/>
  <c r="Z113" i="7"/>
  <c r="T113" i="7"/>
  <c r="AM113" i="7"/>
  <c r="R113" i="7"/>
  <c r="AB130" i="7"/>
  <c r="AC137" i="7"/>
  <c r="AG137" i="7"/>
  <c r="AN155" i="7"/>
  <c r="AS155" i="7"/>
  <c r="R254" i="7"/>
  <c r="S254" i="7"/>
  <c r="S267" i="7"/>
  <c r="P280" i="7"/>
  <c r="AF137" i="7"/>
  <c r="AH137" i="7"/>
  <c r="EF87" i="7"/>
  <c r="EE87" i="7"/>
  <c r="EH87" i="7"/>
  <c r="EJ87" i="7"/>
  <c r="EG87" i="7"/>
  <c r="AA113" i="7"/>
  <c r="AB113" i="7"/>
  <c r="AR113" i="7"/>
  <c r="BH156" i="7"/>
  <c r="BG68" i="7"/>
  <c r="AU155" i="7"/>
  <c r="AQ155" i="7"/>
  <c r="BG155" i="7"/>
  <c r="BO155" i="7"/>
  <c r="AT155" i="7"/>
  <c r="AB155" i="7"/>
  <c r="AA155" i="7"/>
  <c r="AC155" i="7" s="1"/>
  <c r="AR155" i="7"/>
  <c r="V83" i="7"/>
  <c r="X83" i="7"/>
  <c r="Y83" i="7" s="1"/>
  <c r="R83" i="7" s="1"/>
  <c r="CI83" i="7" s="1"/>
  <c r="U83" i="7"/>
  <c r="CR83" i="7"/>
  <c r="DX83" i="7"/>
  <c r="AC83" i="7"/>
  <c r="AP83" i="7"/>
  <c r="AI83" i="7"/>
  <c r="AF83" i="7"/>
  <c r="CZ83" i="7" s="1"/>
  <c r="AQ83" i="7"/>
  <c r="AH83" i="7"/>
  <c r="AD83" i="7"/>
  <c r="DA83" i="7" s="1"/>
  <c r="AE83" i="7"/>
  <c r="CK83" i="7"/>
  <c r="V68" i="7"/>
  <c r="EA68" i="7"/>
  <c r="EA88" i="7"/>
  <c r="X68" i="7"/>
  <c r="Y68" i="7" s="1"/>
  <c r="R68" i="7" s="1"/>
  <c r="K83" i="7"/>
  <c r="Q83" i="7" s="1"/>
  <c r="AG83" i="7"/>
  <c r="CK71" i="7"/>
  <c r="AH72" i="7"/>
  <c r="CJ72" i="7"/>
  <c r="ED76" i="7"/>
  <c r="EE76" i="7"/>
  <c r="CJ69" i="7"/>
  <c r="CJ77" i="7"/>
  <c r="ED74" i="7"/>
  <c r="EG73" i="7"/>
  <c r="EH73" i="7"/>
  <c r="ED73" i="7"/>
  <c r="EE73" i="7" s="1"/>
  <c r="AW81" i="7"/>
  <c r="AT81" i="7"/>
  <c r="CX81" i="7" s="1"/>
  <c r="AS81" i="7"/>
  <c r="AX81" i="7"/>
  <c r="AU81" i="7"/>
  <c r="CY81" i="7"/>
  <c r="AV81" i="7"/>
  <c r="R78" i="7"/>
  <c r="CI78" i="7"/>
  <c r="BA75" i="7"/>
  <c r="AE75" i="7" s="1"/>
  <c r="BD75" i="7"/>
  <c r="AF75" i="7"/>
  <c r="EG78" i="7"/>
  <c r="ED78" i="7"/>
  <c r="AZ81" i="7"/>
  <c r="BC81" i="7"/>
  <c r="BD81" i="7"/>
  <c r="CX80" i="7"/>
  <c r="CX73" i="7"/>
  <c r="CJ78" i="7"/>
  <c r="AU75" i="7"/>
  <c r="AT75" i="7"/>
  <c r="CX75" i="7" s="1"/>
  <c r="AW75" i="7"/>
  <c r="AS75" i="7"/>
  <c r="AV75" i="7"/>
  <c r="CW75" i="7" s="1"/>
  <c r="AX75" i="7"/>
  <c r="CY75" i="7" s="1"/>
  <c r="CK76" i="7"/>
  <c r="AO76" i="7"/>
  <c r="AL76" i="7"/>
  <c r="CS76" i="7" s="1"/>
  <c r="AN76" i="7"/>
  <c r="AP76" i="7"/>
  <c r="AM76" i="7"/>
  <c r="AL73" i="7"/>
  <c r="CK73" i="7"/>
  <c r="AQ75" i="7"/>
  <c r="AX76" i="7"/>
  <c r="AW76" i="7"/>
  <c r="CX76" i="7" s="1"/>
  <c r="AV76" i="7"/>
  <c r="AT76" i="7"/>
  <c r="AU76" i="7"/>
  <c r="CY76" i="7"/>
  <c r="AS76" i="7"/>
  <c r="AE73" i="7"/>
  <c r="EF76" i="7"/>
  <c r="AH81" i="7"/>
  <c r="AZ70" i="7"/>
  <c r="BC70" i="7"/>
  <c r="ED80" i="7"/>
  <c r="EF80" i="7" s="1"/>
  <c r="BO70" i="7"/>
  <c r="AI81" i="7"/>
  <c r="AQ81" i="7"/>
  <c r="CK81" i="7"/>
  <c r="AO81" i="7"/>
  <c r="AP81" i="7"/>
  <c r="AP75" i="7"/>
  <c r="AI75" i="7"/>
  <c r="AO75" i="7"/>
  <c r="AH75" i="7"/>
  <c r="CW76" i="7"/>
  <c r="AF81" i="7"/>
  <c r="AL75" i="7"/>
  <c r="CS75" i="7" s="1"/>
  <c r="CW81" i="7"/>
  <c r="AV70" i="7"/>
  <c r="EH77" i="7"/>
  <c r="EG77" i="7"/>
  <c r="ED77" i="7"/>
  <c r="BA78" i="7"/>
  <c r="BD78" i="7"/>
  <c r="BC76" i="7"/>
  <c r="AZ76" i="7"/>
  <c r="AD76" i="7" s="1"/>
  <c r="CJ76" i="7"/>
  <c r="AM77" i="7"/>
  <c r="AN77" i="7"/>
  <c r="AL77" i="7"/>
  <c r="AP79" i="7"/>
  <c r="AF79" i="7"/>
  <c r="AM79" i="7"/>
  <c r="AH79" i="7"/>
  <c r="AQ79" i="7"/>
  <c r="AL79" i="7"/>
  <c r="AB79" i="7"/>
  <c r="AE79" i="7"/>
  <c r="AI79" i="7"/>
  <c r="AO79" i="7"/>
  <c r="AN79" i="7"/>
  <c r="CJ75" i="7"/>
  <c r="AD75" i="7"/>
  <c r="DA75" i="7" s="1"/>
  <c r="BA74" i="7"/>
  <c r="BD74" i="7"/>
  <c r="D26" i="12"/>
  <c r="C34" i="12"/>
  <c r="C35" i="12"/>
  <c r="C31" i="12"/>
  <c r="C33" i="12"/>
  <c r="CJ70" i="7"/>
  <c r="CX77" i="7"/>
  <c r="CW79" i="7"/>
  <c r="AH77" i="7"/>
  <c r="CW71" i="7"/>
  <c r="DX68" i="7"/>
  <c r="EB68" i="7"/>
  <c r="EB88" i="7"/>
  <c r="K68" i="7"/>
  <c r="Q68" i="7" s="1"/>
  <c r="BC68" i="7"/>
  <c r="W68" i="7"/>
  <c r="U68" i="7"/>
  <c r="BP68" i="7"/>
  <c r="AW68" i="7"/>
  <c r="AT68" i="7"/>
  <c r="AV68" i="7"/>
  <c r="AX68" i="7"/>
  <c r="AU68" i="7"/>
  <c r="AS68" i="7"/>
  <c r="CW68" i="7" s="1"/>
  <c r="CT68" i="7"/>
  <c r="AM81" i="7"/>
  <c r="AL81" i="7"/>
  <c r="CS81" i="7"/>
  <c r="AN81" i="7"/>
  <c r="EO81" i="7"/>
  <c r="AD73" i="7"/>
  <c r="AB73" i="7"/>
  <c r="CJ73" i="7"/>
  <c r="CR73" i="7"/>
  <c r="AT78" i="7"/>
  <c r="AX78" i="7"/>
  <c r="AS78" i="7"/>
  <c r="AW78" i="7"/>
  <c r="AU78" i="7"/>
  <c r="CY78" i="7" s="1"/>
  <c r="AV78" i="7"/>
  <c r="AQ73" i="7"/>
  <c r="AP73" i="7"/>
  <c r="AN73" i="7"/>
  <c r="AO73" i="7"/>
  <c r="CS73" i="7" s="1"/>
  <c r="AM73" i="7"/>
  <c r="AF73" i="7"/>
  <c r="CZ73" i="7" s="1"/>
  <c r="AO71" i="7"/>
  <c r="EO77" i="7"/>
  <c r="EN77" i="7"/>
  <c r="AP72" i="7"/>
  <c r="AM74" i="7"/>
  <c r="AP74" i="7"/>
  <c r="AQ74" i="7"/>
  <c r="AO74" i="7"/>
  <c r="AI74" i="7"/>
  <c r="AM78" i="7"/>
  <c r="AI78" i="7"/>
  <c r="AQ78" i="7"/>
  <c r="AF78" i="7"/>
  <c r="AO78" i="7"/>
  <c r="AP78" i="7"/>
  <c r="AH78" i="7"/>
  <c r="CR76" i="7"/>
  <c r="AI76" i="7"/>
  <c r="AF76" i="7"/>
  <c r="AB76" i="7"/>
  <c r="CZ76" i="7" s="1"/>
  <c r="AE76" i="7"/>
  <c r="AQ76" i="7"/>
  <c r="AH76" i="7"/>
  <c r="CR79" i="7"/>
  <c r="AD79" i="7"/>
  <c r="DA79" i="7" s="1"/>
  <c r="CK79" i="7"/>
  <c r="AE78" i="7"/>
  <c r="CK80" i="7"/>
  <c r="BA70" i="7"/>
  <c r="AW71" i="7"/>
  <c r="CX71" i="7" s="1"/>
  <c r="EO73" i="7"/>
  <c r="EN73" i="7"/>
  <c r="D35" i="12"/>
  <c r="EF77" i="7"/>
  <c r="EE77" i="7"/>
  <c r="AH74" i="7"/>
  <c r="AF74" i="7"/>
  <c r="AL74" i="7"/>
  <c r="CS74" i="7" s="1"/>
  <c r="AN74" i="7"/>
  <c r="CR74" i="7"/>
  <c r="CK74" i="7"/>
  <c r="AD74" i="7"/>
  <c r="DA74" i="7" s="1"/>
  <c r="AB74" i="7"/>
  <c r="AE74" i="7"/>
  <c r="CS79" i="7"/>
  <c r="CZ79" i="7"/>
  <c r="EJ77" i="7"/>
  <c r="DC68" i="7"/>
  <c r="DD68" i="7"/>
  <c r="DD88" i="7" s="1"/>
  <c r="DE68" i="7"/>
  <c r="B292" i="7"/>
  <c r="T68" i="7"/>
  <c r="DV68" i="7"/>
  <c r="EC68" i="7"/>
  <c r="AC68" i="7"/>
  <c r="S68" i="7"/>
  <c r="CY68" i="7"/>
  <c r="CK70" i="7"/>
  <c r="DA76" i="7"/>
  <c r="CW78" i="7"/>
  <c r="CX78" i="7"/>
  <c r="CZ74" i="7"/>
  <c r="DF68" i="7"/>
  <c r="DG68" i="7" s="1"/>
  <c r="DI68" i="7"/>
  <c r="DT68" i="7"/>
  <c r="DT88" i="7" s="1"/>
  <c r="AG68" i="7"/>
  <c r="DY68" i="7"/>
  <c r="DZ68" i="7"/>
  <c r="EK68" i="7"/>
  <c r="S226" i="7"/>
  <c r="L226" i="7"/>
  <c r="P7" i="7"/>
  <c r="E45" i="7"/>
  <c r="J347" i="7"/>
  <c r="J349" i="7"/>
  <c r="P351" i="7" s="1"/>
  <c r="L233" i="7"/>
  <c r="T226" i="7"/>
  <c r="L234" i="7"/>
  <c r="EO68" i="7"/>
  <c r="BJ156" i="7"/>
  <c r="R261" i="7"/>
  <c r="Q280" i="7"/>
  <c r="L280" i="7" s="1"/>
  <c r="Q279" i="7"/>
  <c r="L279" i="7" s="1"/>
  <c r="Q288" i="7" s="1"/>
  <c r="L290" i="7" s="1"/>
  <c r="L53" i="7" l="1"/>
  <c r="EN68" i="7"/>
  <c r="H35" i="7"/>
  <c r="K93" i="7"/>
  <c r="CI68" i="7"/>
  <c r="E26" i="12"/>
  <c r="D31" i="12"/>
  <c r="CK78" i="7"/>
  <c r="AL78" i="7"/>
  <c r="CS78" i="7" s="1"/>
  <c r="CR78" i="7"/>
  <c r="AB78" i="7"/>
  <c r="CZ78" i="7" s="1"/>
  <c r="AM114" i="7"/>
  <c r="AD72" i="7"/>
  <c r="DA72" i="7" s="1"/>
  <c r="AN72" i="7"/>
  <c r="EC70" i="7"/>
  <c r="K70" i="7"/>
  <c r="Q70" i="7" s="1"/>
  <c r="BO69" i="7"/>
  <c r="BP69" i="7"/>
  <c r="EH75" i="7"/>
  <c r="EG75" i="7"/>
  <c r="AB70" i="7"/>
  <c r="AF70" i="7"/>
  <c r="BI80" i="7"/>
  <c r="AG80" i="7"/>
  <c r="BH80" i="7"/>
  <c r="BJ80" i="7"/>
  <c r="AC80" i="7"/>
  <c r="DI80" i="7"/>
  <c r="DH80" i="7"/>
  <c r="DH70" i="7"/>
  <c r="BI70" i="7"/>
  <c r="BJ70" i="7"/>
  <c r="AC70" i="7"/>
  <c r="AC88" i="7" s="1"/>
  <c r="AG70" i="7"/>
  <c r="AN137" i="7"/>
  <c r="AS137" i="7" s="1"/>
  <c r="DZ73" i="7"/>
  <c r="EI73" i="7" s="1"/>
  <c r="EJ73" i="7"/>
  <c r="EH80" i="7"/>
  <c r="EG80" i="7"/>
  <c r="U69" i="7"/>
  <c r="V69" i="7"/>
  <c r="AB128" i="7"/>
  <c r="AA128" i="7"/>
  <c r="Q129" i="7"/>
  <c r="R129" i="7" s="1"/>
  <c r="R156" i="7" s="1"/>
  <c r="R177" i="7" s="1"/>
  <c r="AD129" i="7"/>
  <c r="AE129" i="7" s="1"/>
  <c r="AL130" i="7"/>
  <c r="AQ130" i="7" s="1"/>
  <c r="T130" i="7"/>
  <c r="V84" i="7"/>
  <c r="U84" i="7"/>
  <c r="X84" i="7"/>
  <c r="Y84" i="7" s="1"/>
  <c r="R84" i="7" s="1"/>
  <c r="CI84" i="7" s="1"/>
  <c r="W84" i="7"/>
  <c r="S84" i="7" s="1"/>
  <c r="BP83" i="7"/>
  <c r="BO83" i="7"/>
  <c r="BO86" i="7"/>
  <c r="BP86" i="7"/>
  <c r="CY84" i="7"/>
  <c r="CV84" i="7"/>
  <c r="AN84" i="7"/>
  <c r="AQ84" i="7"/>
  <c r="DY88" i="7"/>
  <c r="D33" i="12"/>
  <c r="AD78" i="7"/>
  <c r="CK72" i="7"/>
  <c r="CT88" i="7"/>
  <c r="J99" i="7" s="1"/>
  <c r="D101" i="7" s="1"/>
  <c r="ED75" i="7"/>
  <c r="EF73" i="7"/>
  <c r="EF78" i="7"/>
  <c r="EC83" i="7"/>
  <c r="DV83" i="7"/>
  <c r="T83" i="7"/>
  <c r="J83" i="7"/>
  <c r="DU83" i="7" s="1"/>
  <c r="AC113" i="7"/>
  <c r="Y156" i="7"/>
  <c r="V156" i="7"/>
  <c r="AO113" i="7"/>
  <c r="W69" i="7"/>
  <c r="BA68" i="7"/>
  <c r="BD68" i="7"/>
  <c r="AR126" i="7"/>
  <c r="AM126" i="7"/>
  <c r="AG117" i="7"/>
  <c r="AF117" i="7" s="1"/>
  <c r="AH117" i="7" s="1"/>
  <c r="AG123" i="7"/>
  <c r="AF123" i="7"/>
  <c r="AH123" i="7" s="1"/>
  <c r="AG125" i="7"/>
  <c r="AF125" i="7"/>
  <c r="AH125" i="7" s="1"/>
  <c r="AR127" i="7"/>
  <c r="AM125" i="7"/>
  <c r="AR125" i="7" s="1"/>
  <c r="DX70" i="7"/>
  <c r="EO80" i="7"/>
  <c r="EN80" i="7"/>
  <c r="CJ68" i="7"/>
  <c r="AS119" i="7"/>
  <c r="BO119" i="7"/>
  <c r="AN119" i="7"/>
  <c r="DE88" i="7"/>
  <c r="AO130" i="7"/>
  <c r="AT130" i="7" s="1"/>
  <c r="CT83" i="7"/>
  <c r="AO83" i="7"/>
  <c r="DV79" i="7"/>
  <c r="S79" i="7"/>
  <c r="EC79" i="7"/>
  <c r="J79" i="7"/>
  <c r="DU79" i="7" s="1"/>
  <c r="EH79" i="7" s="1"/>
  <c r="AG152" i="7"/>
  <c r="AF152" i="7" s="1"/>
  <c r="AH152" i="7" s="1"/>
  <c r="DX74" i="7"/>
  <c r="K74" i="7"/>
  <c r="Q74" i="7" s="1"/>
  <c r="AG144" i="7"/>
  <c r="AF144" i="7" s="1"/>
  <c r="AH144" i="7" s="1"/>
  <c r="AL70" i="7"/>
  <c r="AD70" i="7"/>
  <c r="J280" i="7"/>
  <c r="P279" i="7"/>
  <c r="J279" i="7" s="1"/>
  <c r="P288" i="7" s="1"/>
  <c r="AP113" i="7"/>
  <c r="AU113" i="7"/>
  <c r="W156" i="7"/>
  <c r="EN76" i="7"/>
  <c r="EO76" i="7"/>
  <c r="J350" i="7"/>
  <c r="L347" i="7"/>
  <c r="L349" i="7" s="1"/>
  <c r="CS77" i="7"/>
  <c r="BO113" i="7"/>
  <c r="AN113" i="7"/>
  <c r="AN156" i="7" s="1"/>
  <c r="G37" i="7" s="1"/>
  <c r="X69" i="7"/>
  <c r="Y69" i="7" s="1"/>
  <c r="R69" i="7" s="1"/>
  <c r="CI69" i="7" s="1"/>
  <c r="BA69" i="7"/>
  <c r="AB69" i="7" s="1"/>
  <c r="BD69" i="7"/>
  <c r="EG70" i="7"/>
  <c r="EH70" i="7"/>
  <c r="ED70" i="7"/>
  <c r="EF70" i="7" s="1"/>
  <c r="AD80" i="7"/>
  <c r="AF124" i="7"/>
  <c r="AH124" i="7" s="1"/>
  <c r="AG129" i="7"/>
  <c r="AG126" i="7"/>
  <c r="AF126" i="7" s="1"/>
  <c r="AH126" i="7" s="1"/>
  <c r="AB305" i="7"/>
  <c r="AB336" i="7" s="1"/>
  <c r="AD81" i="7"/>
  <c r="DA81" i="7" s="1"/>
  <c r="CJ81" i="7"/>
  <c r="AE81" i="7"/>
  <c r="CR81" i="7"/>
  <c r="AB81" i="7"/>
  <c r="CZ81" i="7" s="1"/>
  <c r="AG155" i="7"/>
  <c r="AF155" i="7" s="1"/>
  <c r="AH155" i="7" s="1"/>
  <c r="AF69" i="7"/>
  <c r="AN71" i="7"/>
  <c r="AL71" i="7"/>
  <c r="CS71" i="7" s="1"/>
  <c r="AM71" i="7"/>
  <c r="AG120" i="7"/>
  <c r="AF120" i="7" s="1"/>
  <c r="AH120" i="7" s="1"/>
  <c r="AR118" i="7"/>
  <c r="AO115" i="7"/>
  <c r="AT115" i="7" s="1"/>
  <c r="AQ77" i="7"/>
  <c r="AP77" i="7"/>
  <c r="AI77" i="7"/>
  <c r="CK77" i="7"/>
  <c r="EC71" i="7"/>
  <c r="J71" i="7"/>
  <c r="DU71" i="7" s="1"/>
  <c r="EH71" i="7" s="1"/>
  <c r="DV71" i="7"/>
  <c r="AI71" i="7"/>
  <c r="AH71" i="7"/>
  <c r="EK74" i="7"/>
  <c r="EE74" i="7"/>
  <c r="EK78" i="7"/>
  <c r="EH78" i="7"/>
  <c r="EJ78" i="7" s="1"/>
  <c r="EE78" i="7"/>
  <c r="EG74" i="7"/>
  <c r="EH74" i="7"/>
  <c r="EH76" i="7"/>
  <c r="EG76" i="7"/>
  <c r="W285" i="7"/>
  <c r="X285" i="7"/>
  <c r="G296" i="7"/>
  <c r="W290" i="7"/>
  <c r="V288" i="7"/>
  <c r="AE291" i="7" s="1"/>
  <c r="AC130" i="7"/>
  <c r="S336" i="7"/>
  <c r="L44" i="7" s="1"/>
  <c r="X293" i="7"/>
  <c r="AM70" i="7"/>
  <c r="AF68" i="7"/>
  <c r="D34" i="12"/>
  <c r="EJ81" i="7"/>
  <c r="DA78" i="7"/>
  <c r="CX68" i="7"/>
  <c r="AZ71" i="7"/>
  <c r="AU70" i="7"/>
  <c r="CY70" i="7" s="1"/>
  <c r="AS70" i="7"/>
  <c r="CW70" i="7" s="1"/>
  <c r="AX70" i="7"/>
  <c r="AT70" i="7"/>
  <c r="AW70" i="7"/>
  <c r="AB75" i="7"/>
  <c r="CZ75" i="7" s="1"/>
  <c r="CR75" i="7"/>
  <c r="CK75" i="7"/>
  <c r="AM75" i="7"/>
  <c r="AN75" i="7"/>
  <c r="U156" i="7"/>
  <c r="CR70" i="7"/>
  <c r="AI68" i="7"/>
  <c r="AF71" i="7"/>
  <c r="AN78" i="7"/>
  <c r="EE80" i="7"/>
  <c r="J68" i="7"/>
  <c r="AF77" i="7"/>
  <c r="EE81" i="7"/>
  <c r="AM72" i="7"/>
  <c r="AO70" i="7"/>
  <c r="EG83" i="7"/>
  <c r="AT113" i="7"/>
  <c r="DC88" i="7"/>
  <c r="DG69" i="7"/>
  <c r="AP71" i="7"/>
  <c r="AQ71" i="7"/>
  <c r="CR77" i="7"/>
  <c r="AE77" i="7"/>
  <c r="AB77" i="7"/>
  <c r="AD77" i="7"/>
  <c r="DA77" i="7" s="1"/>
  <c r="AF129" i="7"/>
  <c r="AH129" i="7" s="1"/>
  <c r="AF122" i="7"/>
  <c r="AH122" i="7" s="1"/>
  <c r="AR121" i="7"/>
  <c r="AR114" i="7"/>
  <c r="AC116" i="7"/>
  <c r="AG121" i="7"/>
  <c r="AF121" i="7" s="1"/>
  <c r="AH121" i="7" s="1"/>
  <c r="AB115" i="7"/>
  <c r="AA115" i="7"/>
  <c r="AS115" i="7"/>
  <c r="DI70" i="7"/>
  <c r="EN81" i="7"/>
  <c r="G45" i="7"/>
  <c r="E28" i="12"/>
  <c r="F27" i="12"/>
  <c r="E29" i="12"/>
  <c r="DZ79" i="7"/>
  <c r="AS118" i="7"/>
  <c r="AM142" i="7"/>
  <c r="AR142" i="7" s="1"/>
  <c r="EK85" i="7"/>
  <c r="EE85" i="7"/>
  <c r="AD86" i="7"/>
  <c r="AE86" i="7"/>
  <c r="CR86" i="7"/>
  <c r="AB86" i="7"/>
  <c r="AG138" i="7"/>
  <c r="AF138" i="7" s="1"/>
  <c r="AH138" i="7" s="1"/>
  <c r="EI82" i="7"/>
  <c r="EJ82" i="7"/>
  <c r="AH73" i="7"/>
  <c r="DA73" i="7" s="1"/>
  <c r="AH69" i="7"/>
  <c r="AI69" i="7"/>
  <c r="AR128" i="7"/>
  <c r="BO115" i="7"/>
  <c r="CV88" i="7"/>
  <c r="M99" i="7" s="1"/>
  <c r="EN75" i="7"/>
  <c r="EN87" i="7"/>
  <c r="BO118" i="7"/>
  <c r="EI78" i="7"/>
  <c r="AM117" i="7"/>
  <c r="AR117" i="7"/>
  <c r="AT120" i="7"/>
  <c r="AT119" i="7"/>
  <c r="CY74" i="7"/>
  <c r="Y336" i="7"/>
  <c r="L45" i="7" s="1"/>
  <c r="DI79" i="7"/>
  <c r="DG79" i="7"/>
  <c r="T122" i="7"/>
  <c r="AL122" i="7"/>
  <c r="AQ122" i="7" s="1"/>
  <c r="AM138" i="7"/>
  <c r="AR138" i="7" s="1"/>
  <c r="AG141" i="7"/>
  <c r="AF141" i="7"/>
  <c r="AH141" i="7" s="1"/>
  <c r="X336" i="7"/>
  <c r="J45" i="7" s="1"/>
  <c r="EI87" i="7"/>
  <c r="DG77" i="7"/>
  <c r="AM139" i="7"/>
  <c r="AR139" i="7"/>
  <c r="CT84" i="7"/>
  <c r="AD279" i="7"/>
  <c r="DA85" i="7"/>
  <c r="CK84" i="7"/>
  <c r="CZ85" i="7"/>
  <c r="AF146" i="7"/>
  <c r="AH146" i="7" s="1"/>
  <c r="AC150" i="7"/>
  <c r="AC154" i="7"/>
  <c r="AZ84" i="7"/>
  <c r="BC84" i="7"/>
  <c r="Y120" i="7"/>
  <c r="S120" i="7"/>
  <c r="BF121" i="7"/>
  <c r="BF112" i="7" s="1"/>
  <c r="C109" i="7" s="1"/>
  <c r="BG121" i="7"/>
  <c r="BG156" i="7" s="1"/>
  <c r="CZ86" i="7"/>
  <c r="T85" i="7"/>
  <c r="DV85" i="7"/>
  <c r="EG85" i="7"/>
  <c r="DI86" i="7"/>
  <c r="DG86" i="7"/>
  <c r="AE87" i="7"/>
  <c r="AB87" i="7"/>
  <c r="CZ87" i="7" s="1"/>
  <c r="AI85" i="7"/>
  <c r="AN85" i="7"/>
  <c r="AE85" i="7"/>
  <c r="CS87" i="7"/>
  <c r="R336" i="7"/>
  <c r="J44" i="7" s="1"/>
  <c r="AM124" i="7"/>
  <c r="AR124" i="7"/>
  <c r="AM148" i="7"/>
  <c r="AR148" i="7" s="1"/>
  <c r="DA86" i="7"/>
  <c r="DG87" i="7"/>
  <c r="CJ83" i="7"/>
  <c r="AT117" i="7"/>
  <c r="AN86" i="7"/>
  <c r="AQ86" i="7"/>
  <c r="AI86" i="7"/>
  <c r="DI82" i="7"/>
  <c r="DG82" i="7"/>
  <c r="AN129" i="7"/>
  <c r="AS129" i="7"/>
  <c r="AT123" i="7"/>
  <c r="DH72" i="7"/>
  <c r="BH72" i="7"/>
  <c r="G68" i="31"/>
  <c r="H68" i="31" s="1"/>
  <c r="I68" i="31" s="1"/>
  <c r="J68" i="31" s="1"/>
  <c r="K68" i="31" s="1"/>
  <c r="G61" i="31"/>
  <c r="H61" i="31" s="1"/>
  <c r="I61" i="31" s="1"/>
  <c r="J61" i="31" s="1"/>
  <c r="K61" i="31" s="1"/>
  <c r="G87" i="31"/>
  <c r="H87" i="31" s="1"/>
  <c r="I87" i="31" s="1"/>
  <c r="J87" i="31" s="1"/>
  <c r="K87" i="31" s="1"/>
  <c r="G24" i="31"/>
  <c r="H24" i="31" s="1"/>
  <c r="I24" i="31" s="1"/>
  <c r="J24" i="31" s="1"/>
  <c r="K24" i="31" s="1"/>
  <c r="G66" i="31"/>
  <c r="H66" i="31" s="1"/>
  <c r="I66" i="31" s="1"/>
  <c r="J66" i="31" s="1"/>
  <c r="K66" i="31" s="1"/>
  <c r="G9" i="31"/>
  <c r="H9" i="31" s="1"/>
  <c r="I9" i="31" s="1"/>
  <c r="J9" i="31" s="1"/>
  <c r="K9" i="31" s="1"/>
  <c r="G39" i="31"/>
  <c r="H39" i="31" s="1"/>
  <c r="I39" i="31" s="1"/>
  <c r="J39" i="31" s="1"/>
  <c r="K39" i="31" s="1"/>
  <c r="G38" i="31"/>
  <c r="H38" i="31" s="1"/>
  <c r="I38" i="31" s="1"/>
  <c r="J38" i="31" s="1"/>
  <c r="K38" i="31" s="1"/>
  <c r="G63" i="31"/>
  <c r="H63" i="31" s="1"/>
  <c r="I63" i="31" s="1"/>
  <c r="J63" i="31" s="1"/>
  <c r="K63" i="31" s="1"/>
  <c r="G76" i="31"/>
  <c r="H76" i="31" s="1"/>
  <c r="I76" i="31" s="1"/>
  <c r="J76" i="31" s="1"/>
  <c r="K76" i="31" s="1"/>
  <c r="G33" i="31"/>
  <c r="H33" i="31" s="1"/>
  <c r="I33" i="31" s="1"/>
  <c r="J33" i="31" s="1"/>
  <c r="K33" i="31" s="1"/>
  <c r="G54" i="31"/>
  <c r="H54" i="31" s="1"/>
  <c r="I54" i="31" s="1"/>
  <c r="J54" i="31" s="1"/>
  <c r="K54" i="31" s="1"/>
  <c r="G43" i="31"/>
  <c r="H43" i="31" s="1"/>
  <c r="I43" i="31" s="1"/>
  <c r="J43" i="31" s="1"/>
  <c r="K43" i="31" s="1"/>
  <c r="G49" i="31"/>
  <c r="H49" i="31" s="1"/>
  <c r="I49" i="31" s="1"/>
  <c r="J49" i="31" s="1"/>
  <c r="K49" i="31" s="1"/>
  <c r="G73" i="31"/>
  <c r="H73" i="31" s="1"/>
  <c r="I73" i="31" s="1"/>
  <c r="J73" i="31" s="1"/>
  <c r="K73" i="31" s="1"/>
  <c r="G3" i="31"/>
  <c r="H3" i="31" s="1"/>
  <c r="I3" i="31" s="1"/>
  <c r="J3" i="31" s="1"/>
  <c r="K3" i="31" s="1"/>
  <c r="G11" i="31"/>
  <c r="H11" i="31" s="1"/>
  <c r="I11" i="31" s="1"/>
  <c r="J11" i="31" s="1"/>
  <c r="K11" i="31" s="1"/>
  <c r="G23" i="31"/>
  <c r="H23" i="31" s="1"/>
  <c r="I23" i="31" s="1"/>
  <c r="J23" i="31" s="1"/>
  <c r="K23" i="31" s="1"/>
  <c r="G10" i="31"/>
  <c r="H10" i="31" s="1"/>
  <c r="I10" i="31" s="1"/>
  <c r="J10" i="31" s="1"/>
  <c r="K10" i="31" s="1"/>
  <c r="G78" i="31"/>
  <c r="H78" i="31" s="1"/>
  <c r="I78" i="31" s="1"/>
  <c r="J78" i="31" s="1"/>
  <c r="K78" i="31" s="1"/>
  <c r="G58" i="31"/>
  <c r="H58" i="31" s="1"/>
  <c r="I58" i="31" s="1"/>
  <c r="J58" i="31" s="1"/>
  <c r="K58" i="31" s="1"/>
  <c r="G14" i="31"/>
  <c r="H14" i="31" s="1"/>
  <c r="I14" i="31" s="1"/>
  <c r="J14" i="31" s="1"/>
  <c r="K14" i="31" s="1"/>
  <c r="G86" i="31"/>
  <c r="H86" i="31" s="1"/>
  <c r="I86" i="31" s="1"/>
  <c r="J86" i="31" s="1"/>
  <c r="K86" i="31" s="1"/>
  <c r="G8" i="31"/>
  <c r="H8" i="31" s="1"/>
  <c r="I8" i="31" s="1"/>
  <c r="J8" i="31" s="1"/>
  <c r="K8" i="31" s="1"/>
  <c r="G64" i="31"/>
  <c r="H64" i="31" s="1"/>
  <c r="I64" i="31" s="1"/>
  <c r="J64" i="31" s="1"/>
  <c r="K64" i="31" s="1"/>
  <c r="G37" i="31"/>
  <c r="H37" i="31" s="1"/>
  <c r="I37" i="31" s="1"/>
  <c r="J37" i="31" s="1"/>
  <c r="K37" i="31" s="1"/>
  <c r="G5" i="31"/>
  <c r="H5" i="31" s="1"/>
  <c r="I5" i="31" s="1"/>
  <c r="J5" i="31" s="1"/>
  <c r="K5" i="31" s="1"/>
  <c r="G46" i="31"/>
  <c r="H46" i="31" s="1"/>
  <c r="I46" i="31" s="1"/>
  <c r="J46" i="31" s="1"/>
  <c r="K46" i="31" s="1"/>
  <c r="G6" i="31"/>
  <c r="H6" i="31" s="1"/>
  <c r="I6" i="31" s="1"/>
  <c r="J6" i="31" s="1"/>
  <c r="K6" i="31" s="1"/>
  <c r="G4" i="31"/>
  <c r="H4" i="31" s="1"/>
  <c r="I4" i="31" s="1"/>
  <c r="J4" i="31" s="1"/>
  <c r="K4" i="31" s="1"/>
  <c r="G44" i="31"/>
  <c r="H44" i="31" s="1"/>
  <c r="I44" i="31" s="1"/>
  <c r="J44" i="31" s="1"/>
  <c r="K44" i="31" s="1"/>
  <c r="G62" i="31"/>
  <c r="H62" i="31" s="1"/>
  <c r="I62" i="31" s="1"/>
  <c r="J62" i="31" s="1"/>
  <c r="K62" i="31" s="1"/>
  <c r="G56" i="31"/>
  <c r="H56" i="31" s="1"/>
  <c r="I56" i="31" s="1"/>
  <c r="J56" i="31" s="1"/>
  <c r="K56" i="31" s="1"/>
  <c r="G15" i="31"/>
  <c r="H15" i="31" s="1"/>
  <c r="I15" i="31" s="1"/>
  <c r="J15" i="31" s="1"/>
  <c r="K15" i="31" s="1"/>
  <c r="G12" i="31"/>
  <c r="H12" i="31" s="1"/>
  <c r="I12" i="31" s="1"/>
  <c r="J12" i="31" s="1"/>
  <c r="K12" i="31" s="1"/>
  <c r="G42" i="31"/>
  <c r="H42" i="31" s="1"/>
  <c r="I42" i="31" s="1"/>
  <c r="J42" i="31" s="1"/>
  <c r="K42" i="31" s="1"/>
  <c r="G79" i="31"/>
  <c r="H79" i="31" s="1"/>
  <c r="I79" i="31" s="1"/>
  <c r="J79" i="31" s="1"/>
  <c r="K79" i="31" s="1"/>
  <c r="G52" i="31"/>
  <c r="H52" i="31" s="1"/>
  <c r="I52" i="31" s="1"/>
  <c r="J52" i="31" s="1"/>
  <c r="K52" i="31" s="1"/>
  <c r="G31" i="31"/>
  <c r="H31" i="31" s="1"/>
  <c r="I31" i="31" s="1"/>
  <c r="J31" i="31" s="1"/>
  <c r="K31" i="31" s="1"/>
  <c r="G77" i="31"/>
  <c r="H77" i="31" s="1"/>
  <c r="I77" i="31" s="1"/>
  <c r="J77" i="31" s="1"/>
  <c r="K77" i="31" s="1"/>
  <c r="G41" i="31"/>
  <c r="H41" i="31" s="1"/>
  <c r="I41" i="31" s="1"/>
  <c r="J41" i="31" s="1"/>
  <c r="K41" i="31" s="1"/>
  <c r="G92" i="31"/>
  <c r="H92" i="31" s="1"/>
  <c r="I92" i="31" s="1"/>
  <c r="J92" i="31" s="1"/>
  <c r="K92" i="31" s="1"/>
  <c r="G40" i="31"/>
  <c r="H40" i="31" s="1"/>
  <c r="I40" i="31" s="1"/>
  <c r="J40" i="31" s="1"/>
  <c r="K40" i="31" s="1"/>
  <c r="G25" i="31"/>
  <c r="H25" i="31" s="1"/>
  <c r="I25" i="31" s="1"/>
  <c r="J25" i="31" s="1"/>
  <c r="K25" i="31" s="1"/>
  <c r="G74" i="31"/>
  <c r="H74" i="31" s="1"/>
  <c r="I74" i="31" s="1"/>
  <c r="J74" i="31" s="1"/>
  <c r="K74" i="31" s="1"/>
  <c r="G2" i="31"/>
  <c r="H2" i="31" s="1"/>
  <c r="I2" i="31" s="1"/>
  <c r="J2" i="31" s="1"/>
  <c r="K2" i="31" s="1"/>
  <c r="G81" i="31"/>
  <c r="H81" i="31" s="1"/>
  <c r="I81" i="31" s="1"/>
  <c r="J81" i="31" s="1"/>
  <c r="K81" i="31" s="1"/>
  <c r="G17" i="31"/>
  <c r="H17" i="31" s="1"/>
  <c r="I17" i="31" s="1"/>
  <c r="J17" i="31" s="1"/>
  <c r="K17" i="31" s="1"/>
  <c r="G32" i="31"/>
  <c r="H32" i="31" s="1"/>
  <c r="I32" i="31" s="1"/>
  <c r="J32" i="31" s="1"/>
  <c r="K32" i="31" s="1"/>
  <c r="G28" i="31"/>
  <c r="H28" i="31" s="1"/>
  <c r="I28" i="31" s="1"/>
  <c r="J28" i="31" s="1"/>
  <c r="K28" i="31" s="1"/>
  <c r="G90" i="31"/>
  <c r="H90" i="31" s="1"/>
  <c r="I90" i="31" s="1"/>
  <c r="J90" i="31" s="1"/>
  <c r="K90" i="31" s="1"/>
  <c r="G59" i="31"/>
  <c r="H59" i="31" s="1"/>
  <c r="I59" i="31" s="1"/>
  <c r="J59" i="31" s="1"/>
  <c r="K59" i="31" s="1"/>
  <c r="G34" i="31"/>
  <c r="H34" i="31" s="1"/>
  <c r="I34" i="31" s="1"/>
  <c r="J34" i="31" s="1"/>
  <c r="K34" i="31" s="1"/>
  <c r="G50" i="31"/>
  <c r="H50" i="31" s="1"/>
  <c r="I50" i="31" s="1"/>
  <c r="J50" i="31" s="1"/>
  <c r="K50" i="31" s="1"/>
  <c r="G67" i="31"/>
  <c r="H67" i="31" s="1"/>
  <c r="I67" i="31" s="1"/>
  <c r="J67" i="31" s="1"/>
  <c r="K67" i="31" s="1"/>
  <c r="G57" i="31"/>
  <c r="H57" i="31" s="1"/>
  <c r="I57" i="31" s="1"/>
  <c r="J57" i="31" s="1"/>
  <c r="K57" i="31" s="1"/>
  <c r="AT86" i="7"/>
  <c r="AX87" i="7"/>
  <c r="CY87" i="7" s="1"/>
  <c r="BI68" i="7"/>
  <c r="AH68" i="7" s="1"/>
  <c r="U310" i="7"/>
  <c r="U336" i="7" s="1"/>
  <c r="H44" i="7" s="1"/>
  <c r="BJ72" i="7"/>
  <c r="AE72" i="7" s="1"/>
  <c r="T87" i="7"/>
  <c r="G60" i="31"/>
  <c r="H60" i="31" s="1"/>
  <c r="I60" i="31" s="1"/>
  <c r="J60" i="31" s="1"/>
  <c r="K60" i="31" s="1"/>
  <c r="G97" i="31"/>
  <c r="H97" i="31" s="1"/>
  <c r="I97" i="31" s="1"/>
  <c r="J97" i="31" s="1"/>
  <c r="K97" i="31" s="1"/>
  <c r="G75" i="31"/>
  <c r="H75" i="31" s="1"/>
  <c r="I75" i="31" s="1"/>
  <c r="J75" i="31" s="1"/>
  <c r="K75" i="31" s="1"/>
  <c r="G13" i="31"/>
  <c r="H13" i="31" s="1"/>
  <c r="I13" i="31" s="1"/>
  <c r="J13" i="31" s="1"/>
  <c r="K13" i="31" s="1"/>
  <c r="G89" i="31"/>
  <c r="H89" i="31" s="1"/>
  <c r="I89" i="31" s="1"/>
  <c r="J89" i="31" s="1"/>
  <c r="K89" i="31" s="1"/>
  <c r="G27" i="31"/>
  <c r="H27" i="31" s="1"/>
  <c r="I27" i="31" s="1"/>
  <c r="J27" i="31" s="1"/>
  <c r="K27" i="31" s="1"/>
  <c r="G21" i="31"/>
  <c r="H21" i="31" s="1"/>
  <c r="I21" i="31" s="1"/>
  <c r="J21" i="31" s="1"/>
  <c r="K21" i="31" s="1"/>
  <c r="G51" i="31"/>
  <c r="H51" i="31" s="1"/>
  <c r="I51" i="31" s="1"/>
  <c r="J51" i="31" s="1"/>
  <c r="K51" i="31" s="1"/>
  <c r="G95" i="31"/>
  <c r="H95" i="31" s="1"/>
  <c r="I95" i="31" s="1"/>
  <c r="J95" i="31" s="1"/>
  <c r="K95" i="31" s="1"/>
  <c r="S75" i="7"/>
  <c r="AA145" i="7"/>
  <c r="AB145" i="7"/>
  <c r="AU86" i="7"/>
  <c r="AG72" i="7"/>
  <c r="V310" i="7"/>
  <c r="AB310" i="7" s="1"/>
  <c r="AC72" i="7"/>
  <c r="G65" i="31"/>
  <c r="H65" i="31" s="1"/>
  <c r="I65" i="31" s="1"/>
  <c r="J65" i="31" s="1"/>
  <c r="K65" i="31" s="1"/>
  <c r="G16" i="31"/>
  <c r="H16" i="31" s="1"/>
  <c r="I16" i="31" s="1"/>
  <c r="J16" i="31" s="1"/>
  <c r="K16" i="31" s="1"/>
  <c r="G20" i="31"/>
  <c r="H20" i="31" s="1"/>
  <c r="I20" i="31" s="1"/>
  <c r="J20" i="31" s="1"/>
  <c r="K20" i="31" s="1"/>
  <c r="G48" i="31"/>
  <c r="H48" i="31" s="1"/>
  <c r="I48" i="31" s="1"/>
  <c r="J48" i="31" s="1"/>
  <c r="K48" i="31" s="1"/>
  <c r="G30" i="31"/>
  <c r="H30" i="31" s="1"/>
  <c r="I30" i="31" s="1"/>
  <c r="J30" i="31" s="1"/>
  <c r="K30" i="31" s="1"/>
  <c r="G93" i="31"/>
  <c r="H93" i="31" s="1"/>
  <c r="I93" i="31" s="1"/>
  <c r="J93" i="31" s="1"/>
  <c r="K93" i="31" s="1"/>
  <c r="G19" i="31"/>
  <c r="H19" i="31" s="1"/>
  <c r="I19" i="31" s="1"/>
  <c r="J19" i="31" s="1"/>
  <c r="K19" i="31" s="1"/>
  <c r="G88" i="31"/>
  <c r="H88" i="31" s="1"/>
  <c r="I88" i="31" s="1"/>
  <c r="J88" i="31" s="1"/>
  <c r="K88" i="31" s="1"/>
  <c r="G80" i="31"/>
  <c r="H80" i="31" s="1"/>
  <c r="I80" i="31" s="1"/>
  <c r="J80" i="31" s="1"/>
  <c r="K80" i="31" s="1"/>
  <c r="G84" i="31"/>
  <c r="H84" i="31" s="1"/>
  <c r="I84" i="31" s="1"/>
  <c r="J84" i="31" s="1"/>
  <c r="K84" i="31" s="1"/>
  <c r="G69" i="31"/>
  <c r="H69" i="31" s="1"/>
  <c r="I69" i="31" s="1"/>
  <c r="J69" i="31" s="1"/>
  <c r="K69" i="31" s="1"/>
  <c r="V72" i="7"/>
  <c r="W72" i="7"/>
  <c r="V86" i="7"/>
  <c r="X86" i="7"/>
  <c r="Y86" i="7" s="1"/>
  <c r="R86" i="7" s="1"/>
  <c r="CI86" i="7" s="1"/>
  <c r="W86" i="7"/>
  <c r="AL140" i="7"/>
  <c r="AQ140" i="7"/>
  <c r="T140" i="7"/>
  <c r="AP137" i="7"/>
  <c r="AU137" i="7" s="1"/>
  <c r="BO137" i="7"/>
  <c r="Y117" i="7"/>
  <c r="AS124" i="7"/>
  <c r="BO153" i="7"/>
  <c r="Y122" i="7"/>
  <c r="BO142" i="7"/>
  <c r="BO145" i="7"/>
  <c r="AO149" i="7"/>
  <c r="AT149" i="7"/>
  <c r="AH88" i="7" l="1"/>
  <c r="EN85" i="7"/>
  <c r="EO85" i="7"/>
  <c r="EJ71" i="7"/>
  <c r="EI71" i="7"/>
  <c r="AD68" i="7"/>
  <c r="AD88" i="7" s="1"/>
  <c r="EI70" i="7"/>
  <c r="EJ70" i="7"/>
  <c r="AL68" i="7"/>
  <c r="CK68" i="7"/>
  <c r="CK88" i="7" s="1"/>
  <c r="CK89" i="7" s="1"/>
  <c r="AM68" i="7"/>
  <c r="AN68" i="7"/>
  <c r="AB68" i="7"/>
  <c r="AM130" i="7"/>
  <c r="AR130" i="7" s="1"/>
  <c r="T69" i="7"/>
  <c r="EC69" i="7"/>
  <c r="J69" i="7"/>
  <c r="DU69" i="7" s="1"/>
  <c r="EG69" i="7" s="1"/>
  <c r="U88" i="7"/>
  <c r="DV69" i="7"/>
  <c r="AB80" i="7"/>
  <c r="AF80" i="7"/>
  <c r="AO80" i="7"/>
  <c r="CR80" i="7"/>
  <c r="AL80" i="7"/>
  <c r="AT69" i="7"/>
  <c r="AV69" i="7"/>
  <c r="AX69" i="7"/>
  <c r="AW69" i="7"/>
  <c r="AU69" i="7"/>
  <c r="AS69" i="7"/>
  <c r="AS113" i="7"/>
  <c r="AS156" i="7" s="1"/>
  <c r="G36" i="7" s="1"/>
  <c r="AM140" i="7"/>
  <c r="AR140" i="7" s="1"/>
  <c r="AC145" i="7"/>
  <c r="K98" i="31"/>
  <c r="L98" i="31" s="1"/>
  <c r="C13" i="7" s="1"/>
  <c r="AG150" i="7"/>
  <c r="AF150" i="7"/>
  <c r="AH150" i="7" s="1"/>
  <c r="F45" i="7"/>
  <c r="P45" i="7" s="1"/>
  <c r="DA69" i="7"/>
  <c r="AC115" i="7"/>
  <c r="AG116" i="7"/>
  <c r="AF116" i="7" s="1"/>
  <c r="AH116" i="7" s="1"/>
  <c r="J93" i="7"/>
  <c r="G35" i="7"/>
  <c r="G34" i="7" s="1"/>
  <c r="DI89" i="7"/>
  <c r="T35" i="7" s="1"/>
  <c r="CX70" i="7"/>
  <c r="AD71" i="7"/>
  <c r="CR71" i="7"/>
  <c r="CJ71" i="7"/>
  <c r="AB71" i="7"/>
  <c r="CZ71" i="7" s="1"/>
  <c r="AE71" i="7"/>
  <c r="ED71" i="7"/>
  <c r="EF71" i="7" s="1"/>
  <c r="EI76" i="7"/>
  <c r="EJ76" i="7"/>
  <c r="EN74" i="7"/>
  <c r="EO74" i="7"/>
  <c r="EG71" i="7"/>
  <c r="V336" i="7"/>
  <c r="I44" i="7" s="1"/>
  <c r="AP69" i="7"/>
  <c r="AO69" i="7"/>
  <c r="AQ69" i="7"/>
  <c r="AP156" i="7"/>
  <c r="I37" i="7" s="1"/>
  <c r="EG79" i="7"/>
  <c r="EK79" i="7"/>
  <c r="M93" i="7"/>
  <c r="L93" i="7"/>
  <c r="I35" i="7"/>
  <c r="CR68" i="7"/>
  <c r="S69" i="7"/>
  <c r="S88" i="7" s="1"/>
  <c r="S90" i="7" s="1"/>
  <c r="AE287" i="7" s="1"/>
  <c r="W88" i="7"/>
  <c r="EF75" i="7"/>
  <c r="EE75" i="7"/>
  <c r="AX86" i="7"/>
  <c r="AV86" i="7"/>
  <c r="AW86" i="7"/>
  <c r="CX86" i="7" s="1"/>
  <c r="AS86" i="7"/>
  <c r="AC128" i="7"/>
  <c r="AQ70" i="7"/>
  <c r="AI70" i="7"/>
  <c r="AI88" i="7" s="1"/>
  <c r="AE70" i="7"/>
  <c r="R88" i="7"/>
  <c r="BO156" i="7"/>
  <c r="DX86" i="7"/>
  <c r="K86" i="7"/>
  <c r="Q86" i="7" s="1"/>
  <c r="S86" i="7"/>
  <c r="AI72" i="7"/>
  <c r="AQ72" i="7"/>
  <c r="EJ85" i="7"/>
  <c r="EI85" i="7"/>
  <c r="AF84" i="7"/>
  <c r="AH84" i="7"/>
  <c r="AI84" i="7"/>
  <c r="F28" i="12"/>
  <c r="G27" i="12"/>
  <c r="F29" i="12"/>
  <c r="DI88" i="7"/>
  <c r="AT156" i="7"/>
  <c r="H36" i="7" s="1"/>
  <c r="DU68" i="7"/>
  <c r="G40" i="7"/>
  <c r="BO157" i="7"/>
  <c r="T36" i="7" s="1"/>
  <c r="CZ68" i="7"/>
  <c r="AG130" i="7"/>
  <c r="AF130" i="7" s="1"/>
  <c r="AH130" i="7" s="1"/>
  <c r="DA71" i="7"/>
  <c r="DZ88" i="7"/>
  <c r="R157" i="7" s="1"/>
  <c r="AD69" i="7"/>
  <c r="AL69" i="7"/>
  <c r="AE69" i="7"/>
  <c r="AN69" i="7"/>
  <c r="CK69" i="7"/>
  <c r="AM69" i="7"/>
  <c r="Q156" i="7"/>
  <c r="Q177" i="7" s="1"/>
  <c r="CR69" i="7"/>
  <c r="J288" i="7"/>
  <c r="CS70" i="7"/>
  <c r="EJ74" i="7"/>
  <c r="EI74" i="7"/>
  <c r="ED79" i="7"/>
  <c r="EF79" i="7" s="1"/>
  <c r="AE68" i="7"/>
  <c r="AE88" i="7" s="1"/>
  <c r="AO156" i="7"/>
  <c r="H37" i="7" s="1"/>
  <c r="AG113" i="7"/>
  <c r="AF113" i="7"/>
  <c r="EK83" i="7"/>
  <c r="Y88" i="7"/>
  <c r="DY89" i="7"/>
  <c r="DZ89" i="7" s="1"/>
  <c r="Q157" i="7"/>
  <c r="AX83" i="7"/>
  <c r="AV83" i="7"/>
  <c r="AU83" i="7"/>
  <c r="CY83" i="7" s="1"/>
  <c r="AW83" i="7"/>
  <c r="AT83" i="7"/>
  <c r="AS83" i="7"/>
  <c r="J84" i="7"/>
  <c r="DU84" i="7" s="1"/>
  <c r="EH84" i="7" s="1"/>
  <c r="T84" i="7"/>
  <c r="DV84" i="7"/>
  <c r="EC84" i="7"/>
  <c r="EJ80" i="7"/>
  <c r="EI80" i="7"/>
  <c r="AH70" i="7"/>
  <c r="DA70" i="7" s="1"/>
  <c r="AP70" i="7"/>
  <c r="AH80" i="7"/>
  <c r="DA80" i="7" s="1"/>
  <c r="AP80" i="7"/>
  <c r="AM80" i="7"/>
  <c r="EJ75" i="7"/>
  <c r="EI75" i="7"/>
  <c r="EK70" i="7"/>
  <c r="EE70" i="7"/>
  <c r="AN70" i="7"/>
  <c r="DV86" i="7"/>
  <c r="K72" i="7"/>
  <c r="Q72" i="7" s="1"/>
  <c r="DX72" i="7"/>
  <c r="F44" i="7"/>
  <c r="P44" i="7" s="1"/>
  <c r="EC86" i="7"/>
  <c r="AL120" i="7"/>
  <c r="AL156" i="7" s="1"/>
  <c r="J37" i="7" s="1"/>
  <c r="AQ120" i="7"/>
  <c r="AQ156" i="7" s="1"/>
  <c r="J36" i="7" s="1"/>
  <c r="T120" i="7"/>
  <c r="AF154" i="7"/>
  <c r="AH154" i="7" s="1"/>
  <c r="AG154" i="7"/>
  <c r="Y290" i="7"/>
  <c r="I45" i="7"/>
  <c r="AU156" i="7"/>
  <c r="I36" i="7" s="1"/>
  <c r="H34" i="7"/>
  <c r="S72" i="7"/>
  <c r="EC72" i="7"/>
  <c r="EH72" i="7" s="1"/>
  <c r="J72" i="7"/>
  <c r="DU72" i="7" s="1"/>
  <c r="EG72" i="7"/>
  <c r="DV72" i="7"/>
  <c r="ED72" i="7"/>
  <c r="EF72" i="7" s="1"/>
  <c r="CY86" i="7"/>
  <c r="AA310" i="7"/>
  <c r="AA336" i="7" s="1"/>
  <c r="H45" i="7" s="1"/>
  <c r="AB72" i="7"/>
  <c r="AO72" i="7"/>
  <c r="AF72" i="7"/>
  <c r="CR72" i="7"/>
  <c r="J86" i="7"/>
  <c r="DU86" i="7" s="1"/>
  <c r="EH86" i="7" s="1"/>
  <c r="AE84" i="7"/>
  <c r="AD84" i="7"/>
  <c r="CJ84" i="7"/>
  <c r="AB84" i="7"/>
  <c r="CR84" i="7"/>
  <c r="AM122" i="7"/>
  <c r="AR122" i="7" s="1"/>
  <c r="S156" i="7"/>
  <c r="CZ77" i="7"/>
  <c r="EO78" i="7"/>
  <c r="EN78" i="7" s="1"/>
  <c r="EK71" i="7"/>
  <c r="EE71" i="7"/>
  <c r="CZ69" i="7"/>
  <c r="EJ79" i="7"/>
  <c r="EI79" i="7"/>
  <c r="CJ88" i="7"/>
  <c r="CJ89" i="7" s="1"/>
  <c r="AP68" i="7"/>
  <c r="AQ68" i="7"/>
  <c r="AQ88" i="7" s="1"/>
  <c r="AO68" i="7"/>
  <c r="EH83" i="7"/>
  <c r="EI83" i="7" s="1"/>
  <c r="ED83" i="7"/>
  <c r="EF83" i="7" s="1"/>
  <c r="K84" i="7"/>
  <c r="Q84" i="7" s="1"/>
  <c r="DX84" i="7"/>
  <c r="DX69" i="7"/>
  <c r="K69" i="7"/>
  <c r="AG88" i="7"/>
  <c r="V289" i="7" s="1"/>
  <c r="AI80" i="7"/>
  <c r="AE80" i="7"/>
  <c r="AQ80" i="7"/>
  <c r="AN80" i="7"/>
  <c r="CZ70" i="7"/>
  <c r="BP88" i="7"/>
  <c r="AL72" i="7"/>
  <c r="E33" i="12"/>
  <c r="F26" i="12"/>
  <c r="E35" i="12"/>
  <c r="E31" i="12"/>
  <c r="E34" i="12"/>
  <c r="W291" i="7" l="1"/>
  <c r="W292" i="7" s="1"/>
  <c r="X291" i="7"/>
  <c r="X287" i="7"/>
  <c r="X290" i="7" s="1"/>
  <c r="EJ86" i="7"/>
  <c r="EI86" i="7"/>
  <c r="EG84" i="7"/>
  <c r="S177" i="7"/>
  <c r="AJ287" i="7"/>
  <c r="AG145" i="7"/>
  <c r="AF145" i="7" s="1"/>
  <c r="AH145" i="7" s="1"/>
  <c r="AV90" i="7"/>
  <c r="AV88" i="7"/>
  <c r="CS72" i="7"/>
  <c r="H93" i="7"/>
  <c r="K88" i="7"/>
  <c r="H92" i="7" s="1"/>
  <c r="H95" i="7" s="1"/>
  <c r="H97" i="7" s="1"/>
  <c r="Q69" i="7"/>
  <c r="AP90" i="7"/>
  <c r="AP88" i="7"/>
  <c r="AP92" i="7" s="1"/>
  <c r="F37" i="7"/>
  <c r="P37" i="7" s="1"/>
  <c r="ED84" i="7"/>
  <c r="EF84" i="7" s="1"/>
  <c r="CS83" i="7"/>
  <c r="CW83" i="7"/>
  <c r="CS69" i="7"/>
  <c r="ED68" i="7"/>
  <c r="DU88" i="7"/>
  <c r="EG68" i="7"/>
  <c r="EH68" i="7"/>
  <c r="EJ83" i="7"/>
  <c r="CR88" i="7"/>
  <c r="EE79" i="7"/>
  <c r="CY69" i="7"/>
  <c r="CY88" i="7" s="1"/>
  <c r="M95" i="7" s="1"/>
  <c r="I42" i="7" s="1"/>
  <c r="AU88" i="7"/>
  <c r="CX69" i="7"/>
  <c r="CX88" i="7" s="1"/>
  <c r="K95" i="7" s="1"/>
  <c r="AT88" i="7"/>
  <c r="AT90" i="7"/>
  <c r="CZ80" i="7"/>
  <c r="EJ69" i="7"/>
  <c r="DV88" i="7"/>
  <c r="EK69" i="7"/>
  <c r="EE69" i="7"/>
  <c r="EC88" i="7"/>
  <c r="AB88" i="7"/>
  <c r="CS68" i="7"/>
  <c r="AL88" i="7"/>
  <c r="AL92" i="7" s="1"/>
  <c r="AL90" i="7"/>
  <c r="DA68" i="7"/>
  <c r="EO70" i="7"/>
  <c r="EN70" i="7" s="1"/>
  <c r="F93" i="7"/>
  <c r="AH305" i="7"/>
  <c r="CW69" i="7"/>
  <c r="CW88" i="7" s="1"/>
  <c r="J95" i="7" s="1"/>
  <c r="J92" i="7" s="1"/>
  <c r="AS90" i="7"/>
  <c r="AS88" i="7"/>
  <c r="EH69" i="7"/>
  <c r="EI69" i="7" s="1"/>
  <c r="DW88" i="7"/>
  <c r="DW89" i="7" s="1"/>
  <c r="DX88" i="7"/>
  <c r="CZ72" i="7"/>
  <c r="EK72" i="7"/>
  <c r="EE72" i="7"/>
  <c r="EK86" i="7"/>
  <c r="EI84" i="7"/>
  <c r="EJ84" i="7"/>
  <c r="CX83" i="7"/>
  <c r="EE83" i="7"/>
  <c r="AC156" i="7"/>
  <c r="J88" i="7"/>
  <c r="F92" i="7" s="1"/>
  <c r="F95" i="7" s="1"/>
  <c r="G28" i="12"/>
  <c r="G29" i="12"/>
  <c r="H27" i="12"/>
  <c r="DA84" i="7"/>
  <c r="L235" i="7"/>
  <c r="L236" i="7" s="1"/>
  <c r="AG128" i="7"/>
  <c r="AF128" i="7" s="1"/>
  <c r="AH128" i="7" s="1"/>
  <c r="I34" i="7"/>
  <c r="I41" i="7" s="1"/>
  <c r="I47" i="7" s="1"/>
  <c r="EO79" i="7"/>
  <c r="EN79" i="7"/>
  <c r="ED86" i="7"/>
  <c r="EF86" i="7" s="1"/>
  <c r="AW88" i="7"/>
  <c r="AW90" i="7"/>
  <c r="CS80" i="7"/>
  <c r="ED69" i="7"/>
  <c r="EF69" i="7" s="1"/>
  <c r="T88" i="7"/>
  <c r="T90" i="7" s="1"/>
  <c r="AF287" i="7" s="1"/>
  <c r="AK287" i="7" s="1"/>
  <c r="AN88" i="7"/>
  <c r="EG86" i="7"/>
  <c r="G205" i="7"/>
  <c r="H41" i="7"/>
  <c r="AH113" i="7"/>
  <c r="G26" i="12"/>
  <c r="F33" i="12"/>
  <c r="F31" i="12"/>
  <c r="F34" i="12"/>
  <c r="F35" i="12"/>
  <c r="AO90" i="7"/>
  <c r="AO88" i="7"/>
  <c r="EN71" i="7"/>
  <c r="EO71" i="7"/>
  <c r="EI72" i="7"/>
  <c r="EJ72" i="7"/>
  <c r="AM120" i="7"/>
  <c r="AM156" i="7" s="1"/>
  <c r="L37" i="7" s="1"/>
  <c r="AR120" i="7"/>
  <c r="AR156" i="7" s="1"/>
  <c r="L36" i="7" s="1"/>
  <c r="F36" i="7" s="1"/>
  <c r="P36" i="7" s="1"/>
  <c r="T156" i="7"/>
  <c r="EK84" i="7"/>
  <c r="EE84" i="7"/>
  <c r="Q176" i="7"/>
  <c r="S176" i="7" s="1"/>
  <c r="Q158" i="7"/>
  <c r="EO83" i="7"/>
  <c r="EN83" i="7" s="1"/>
  <c r="R176" i="7"/>
  <c r="R178" i="7" s="1"/>
  <c r="R158" i="7"/>
  <c r="AF88" i="7"/>
  <c r="CZ84" i="7"/>
  <c r="CZ88" i="7" s="1"/>
  <c r="J96" i="7" s="1"/>
  <c r="CS86" i="7"/>
  <c r="CW86" i="7"/>
  <c r="AE289" i="7"/>
  <c r="T34" i="7"/>
  <c r="G41" i="7"/>
  <c r="E205" i="7"/>
  <c r="AG115" i="7"/>
  <c r="AG156" i="7" s="1"/>
  <c r="O165" i="7"/>
  <c r="O164" i="7"/>
  <c r="Q164" i="7" s="1"/>
  <c r="O166" i="7"/>
  <c r="Q166" i="7" s="1"/>
  <c r="R166" i="7" s="1"/>
  <c r="AX88" i="7"/>
  <c r="AF289" i="7"/>
  <c r="AK289" i="7" s="1"/>
  <c r="AM88" i="7"/>
  <c r="AM90" i="7"/>
  <c r="AF115" i="7" l="1"/>
  <c r="G33" i="12"/>
  <c r="G31" i="12"/>
  <c r="G35" i="12"/>
  <c r="G34" i="12"/>
  <c r="H26" i="12"/>
  <c r="EN86" i="7"/>
  <c r="EO86" i="7"/>
  <c r="EO72" i="7"/>
  <c r="EN72" i="7" s="1"/>
  <c r="CS88" i="7"/>
  <c r="EO69" i="7"/>
  <c r="EN69" i="7"/>
  <c r="EK88" i="7"/>
  <c r="AC157" i="7" s="1"/>
  <c r="AC158" i="7" s="1"/>
  <c r="AC159" i="7" s="1"/>
  <c r="ED88" i="7"/>
  <c r="EE68" i="7"/>
  <c r="EF68" i="7"/>
  <c r="AG287" i="7"/>
  <c r="AL287" i="7" s="1"/>
  <c r="X292" i="7"/>
  <c r="G42" i="7"/>
  <c r="J97" i="7"/>
  <c r="H42" i="7"/>
  <c r="K97" i="7"/>
  <c r="K92" i="7"/>
  <c r="DU91" i="7"/>
  <c r="DU89" i="7"/>
  <c r="AM92" i="7"/>
  <c r="AG289" i="7"/>
  <c r="AL289" i="7" s="1"/>
  <c r="AJ289" i="7"/>
  <c r="EO84" i="7"/>
  <c r="EN84" i="7"/>
  <c r="EE86" i="7"/>
  <c r="AG305" i="7"/>
  <c r="AK305" i="7"/>
  <c r="AH306" i="7"/>
  <c r="AI305" i="7"/>
  <c r="DA88" i="7"/>
  <c r="K96" i="7" s="1"/>
  <c r="DV91" i="7"/>
  <c r="K94" i="7"/>
  <c r="EI68" i="7"/>
  <c r="EJ68" i="7"/>
  <c r="G47" i="7"/>
  <c r="H28" i="12"/>
  <c r="H29" i="12"/>
  <c r="I27" i="12"/>
  <c r="P165" i="7"/>
  <c r="Q165" i="7"/>
  <c r="R165" i="7" s="1"/>
  <c r="R171" i="7" s="1"/>
  <c r="AO92" i="7"/>
  <c r="J235" i="7"/>
  <c r="F96" i="7"/>
  <c r="I46" i="7"/>
  <c r="J94" i="7"/>
  <c r="T267" i="7"/>
  <c r="S268" i="7" s="1"/>
  <c r="P289" i="7" s="1"/>
  <c r="T258" i="7"/>
  <c r="EG88" i="7"/>
  <c r="Y157" i="7" s="1"/>
  <c r="Y158" i="7" s="1"/>
  <c r="Y159" i="7" s="1"/>
  <c r="M92" i="7"/>
  <c r="Q178" i="7"/>
  <c r="AK306" i="7" l="1"/>
  <c r="AI306" i="7"/>
  <c r="AG306" i="7"/>
  <c r="AH307" i="7"/>
  <c r="AJ305" i="7"/>
  <c r="AJ306" i="7" s="1"/>
  <c r="AJ307" i="7" s="1"/>
  <c r="AJ308" i="7" s="1"/>
  <c r="AJ309" i="7" s="1"/>
  <c r="AJ310" i="7" s="1"/>
  <c r="AJ311" i="7" s="1"/>
  <c r="AJ312" i="7" s="1"/>
  <c r="AJ313" i="7" s="1"/>
  <c r="AJ314" i="7" s="1"/>
  <c r="AJ315" i="7" s="1"/>
  <c r="AJ316" i="7" s="1"/>
  <c r="AJ317" i="7" s="1"/>
  <c r="AJ318" i="7" s="1"/>
  <c r="AJ319" i="7" s="1"/>
  <c r="AJ320" i="7" s="1"/>
  <c r="AJ321" i="7" s="1"/>
  <c r="AJ322" i="7" s="1"/>
  <c r="AJ323" i="7" s="1"/>
  <c r="AJ324" i="7" s="1"/>
  <c r="AJ325" i="7" s="1"/>
  <c r="AJ326" i="7" s="1"/>
  <c r="AJ327" i="7" s="1"/>
  <c r="AJ328" i="7" s="1"/>
  <c r="AJ329" i="7" s="1"/>
  <c r="AJ330" i="7" s="1"/>
  <c r="AJ331" i="7" s="1"/>
  <c r="AJ332" i="7" s="1"/>
  <c r="AJ333" i="7" s="1"/>
  <c r="AJ334" i="7" s="1"/>
  <c r="K98" i="7"/>
  <c r="J35" i="7"/>
  <c r="S157" i="7"/>
  <c r="EF88" i="7"/>
  <c r="J289" i="7"/>
  <c r="P290" i="7"/>
  <c r="J290" i="7" s="1"/>
  <c r="I28" i="12"/>
  <c r="J27" i="12"/>
  <c r="I29" i="12"/>
  <c r="DU95" i="7"/>
  <c r="DU92" i="7"/>
  <c r="S46" i="7"/>
  <c r="L339" i="7" s="1"/>
  <c r="H46" i="7"/>
  <c r="H47" i="7"/>
  <c r="H186" i="7"/>
  <c r="H187" i="7" s="1"/>
  <c r="S178" i="7"/>
  <c r="H188" i="7" s="1"/>
  <c r="H178" i="7" s="1"/>
  <c r="AF305" i="7"/>
  <c r="AF306" i="7" s="1"/>
  <c r="AF307" i="7" s="1"/>
  <c r="AF308" i="7" s="1"/>
  <c r="AF309" i="7" s="1"/>
  <c r="AF310" i="7" s="1"/>
  <c r="AF311" i="7" s="1"/>
  <c r="AF312" i="7" s="1"/>
  <c r="AF313" i="7" s="1"/>
  <c r="AF314" i="7" s="1"/>
  <c r="AF315" i="7" s="1"/>
  <c r="AF316" i="7" s="1"/>
  <c r="AF317" i="7" s="1"/>
  <c r="AF318" i="7" s="1"/>
  <c r="AF319" i="7" s="1"/>
  <c r="AF320" i="7" s="1"/>
  <c r="AF321" i="7" s="1"/>
  <c r="AF322" i="7" s="1"/>
  <c r="AF323" i="7" s="1"/>
  <c r="AF324" i="7" s="1"/>
  <c r="AF325" i="7" s="1"/>
  <c r="AF326" i="7" s="1"/>
  <c r="AF327" i="7" s="1"/>
  <c r="AF328" i="7" s="1"/>
  <c r="AF329" i="7" s="1"/>
  <c r="AF330" i="7" s="1"/>
  <c r="AF331" i="7" s="1"/>
  <c r="AF332" i="7" s="1"/>
  <c r="AF333" i="7" s="1"/>
  <c r="AF334" i="7" s="1"/>
  <c r="J98" i="7"/>
  <c r="EN88" i="7"/>
  <c r="AF157" i="7" s="1"/>
  <c r="AF158" i="7" s="1"/>
  <c r="AF159" i="7" s="1"/>
  <c r="S159" i="7" s="1"/>
  <c r="J39" i="7" s="1"/>
  <c r="H33" i="12"/>
  <c r="H31" i="12"/>
  <c r="I26" i="12"/>
  <c r="H35" i="12"/>
  <c r="H34" i="12"/>
  <c r="T266" i="7"/>
  <c r="R46" i="7"/>
  <c r="J339" i="7" s="1"/>
  <c r="G46" i="7"/>
  <c r="EE88" i="7"/>
  <c r="EO88" i="7"/>
  <c r="AG157" i="7" s="1"/>
  <c r="AG158" i="7" s="1"/>
  <c r="AG159" i="7" s="1"/>
  <c r="T159" i="7" s="1"/>
  <c r="L39" i="7" s="1"/>
  <c r="AH115" i="7"/>
  <c r="AF156" i="7"/>
  <c r="AH156" i="7" s="1"/>
  <c r="F39" i="7" l="1"/>
  <c r="T264" i="7" s="1"/>
  <c r="J53" i="7"/>
  <c r="J34" i="7"/>
  <c r="J41" i="7" s="1"/>
  <c r="J26" i="12"/>
  <c r="I31" i="12"/>
  <c r="I34" i="12"/>
  <c r="I33" i="12"/>
  <c r="I35" i="12"/>
  <c r="H189" i="7"/>
  <c r="H190" i="7" s="1"/>
  <c r="K27" i="12"/>
  <c r="J29" i="12"/>
  <c r="L27" i="12"/>
  <c r="J28" i="12"/>
  <c r="T157" i="7"/>
  <c r="T158" i="7" s="1"/>
  <c r="L35" i="7"/>
  <c r="L34" i="7" s="1"/>
  <c r="L41" i="7" s="1"/>
  <c r="J58" i="7"/>
  <c r="J341" i="7" s="1"/>
  <c r="J57" i="7"/>
  <c r="J338" i="7" s="1"/>
  <c r="J340" i="7" s="1"/>
  <c r="L57" i="7"/>
  <c r="L338" i="7" s="1"/>
  <c r="L340" i="7" s="1"/>
  <c r="L58" i="7"/>
  <c r="L341" i="7" s="1"/>
  <c r="DV95" i="7"/>
  <c r="J42" i="7" s="1"/>
  <c r="S158" i="7"/>
  <c r="AH158" i="7" s="1"/>
  <c r="AH157" i="7"/>
  <c r="AI307" i="7"/>
  <c r="AH308" i="7"/>
  <c r="AG307" i="7"/>
  <c r="AK307" i="7"/>
  <c r="AI308" i="7" l="1"/>
  <c r="AK308" i="7"/>
  <c r="AH309" i="7"/>
  <c r="AG308" i="7"/>
  <c r="J47" i="7"/>
  <c r="DW95" i="7"/>
  <c r="L42" i="7" s="1"/>
  <c r="L46" i="7" s="1"/>
  <c r="L28" i="12"/>
  <c r="M27" i="12"/>
  <c r="L29" i="12"/>
  <c r="K26" i="12"/>
  <c r="J33" i="12"/>
  <c r="L26" i="12"/>
  <c r="J35" i="12"/>
  <c r="J31" i="12"/>
  <c r="J34" i="12"/>
  <c r="P352" i="7"/>
  <c r="P353" i="7" s="1"/>
  <c r="A352" i="7" s="1"/>
  <c r="J46" i="7"/>
  <c r="K28" i="12"/>
  <c r="K29" i="12"/>
  <c r="F35" i="7"/>
  <c r="P39" i="7"/>
  <c r="L34" i="12" l="1"/>
  <c r="L33" i="12"/>
  <c r="L35" i="12"/>
  <c r="M26" i="12"/>
  <c r="L31" i="12"/>
  <c r="N27" i="12"/>
  <c r="M28" i="12"/>
  <c r="M29" i="12"/>
  <c r="L47" i="7"/>
  <c r="F34" i="7"/>
  <c r="F41" i="7" s="1"/>
  <c r="P35" i="7"/>
  <c r="K31" i="12"/>
  <c r="K33" i="12"/>
  <c r="K34" i="12"/>
  <c r="K35" i="12"/>
  <c r="F42" i="7"/>
  <c r="F46" i="7" s="1"/>
  <c r="P46" i="7" s="1"/>
  <c r="AK309" i="7"/>
  <c r="AG309" i="7"/>
  <c r="AH310" i="7"/>
  <c r="AI309" i="7"/>
  <c r="E23" i="7" l="1"/>
  <c r="G204" i="7"/>
  <c r="E22" i="7"/>
  <c r="H204" i="7"/>
  <c r="F47" i="7"/>
  <c r="E24" i="7"/>
  <c r="E25" i="7" s="1"/>
  <c r="F204" i="7" s="1"/>
  <c r="E204" i="7"/>
  <c r="B204" i="7"/>
  <c r="E26" i="7"/>
  <c r="D204" i="7"/>
  <c r="B227" i="7" s="1"/>
  <c r="E27" i="7"/>
  <c r="AG288" i="7"/>
  <c r="A293" i="7"/>
  <c r="B10" i="7"/>
  <c r="Y291" i="7"/>
  <c r="Y292" i="7" s="1"/>
  <c r="AE292" i="7" s="1"/>
  <c r="P291" i="7"/>
  <c r="P41" i="7"/>
  <c r="N28" i="12"/>
  <c r="N29" i="12"/>
  <c r="O27" i="12"/>
  <c r="AH311" i="7"/>
  <c r="AG310" i="7"/>
  <c r="AK310" i="7"/>
  <c r="AI310" i="7"/>
  <c r="M31" i="12"/>
  <c r="M34" i="12"/>
  <c r="M35" i="12"/>
  <c r="N26" i="12"/>
  <c r="M33" i="12"/>
  <c r="O28" i="12" l="1"/>
  <c r="P27" i="12"/>
  <c r="O29" i="12"/>
  <c r="Q27" i="12"/>
  <c r="AG290" i="7"/>
  <c r="AE288" i="7"/>
  <c r="P226" i="7"/>
  <c r="B226" i="7" s="1"/>
  <c r="O26" i="12"/>
  <c r="N35" i="12"/>
  <c r="N33" i="12"/>
  <c r="N34" i="12"/>
  <c r="N31" i="12"/>
  <c r="AK311" i="7"/>
  <c r="AG311" i="7"/>
  <c r="AH312" i="7"/>
  <c r="AI311" i="7"/>
  <c r="Q29" i="12" l="1"/>
  <c r="R27" i="12"/>
  <c r="Q28" i="12"/>
  <c r="Q226" i="7"/>
  <c r="G226" i="7" s="1"/>
  <c r="J287" i="7" s="1"/>
  <c r="AF288" i="7"/>
  <c r="AF290" i="7" s="1"/>
  <c r="AE290" i="7"/>
  <c r="AH313" i="7"/>
  <c r="AG312" i="7"/>
  <c r="AK312" i="7"/>
  <c r="AI312" i="7"/>
  <c r="P29" i="12"/>
  <c r="P28" i="12"/>
  <c r="O33" i="12"/>
  <c r="O31" i="12"/>
  <c r="Q26" i="12"/>
  <c r="O35" i="12"/>
  <c r="P26" i="12"/>
  <c r="O34" i="12"/>
  <c r="AE294" i="7"/>
  <c r="AG295" i="7"/>
  <c r="AI295" i="7"/>
  <c r="R26" i="12" l="1"/>
  <c r="Q33" i="12"/>
  <c r="Q35" i="12"/>
  <c r="Q34" i="12"/>
  <c r="Q31" i="12"/>
  <c r="AI313" i="7"/>
  <c r="AK313" i="7"/>
  <c r="AG313" i="7"/>
  <c r="AH314" i="7"/>
  <c r="T27" i="12"/>
  <c r="R29" i="12"/>
  <c r="R28" i="12"/>
  <c r="S27" i="12"/>
  <c r="AB297" i="7"/>
  <c r="CH226" i="7"/>
  <c r="CI226" i="7" s="1"/>
  <c r="CI235" i="7" s="1"/>
  <c r="CI236" i="7" s="1"/>
  <c r="Q286" i="7" s="1"/>
  <c r="P286" i="7"/>
  <c r="P35" i="12"/>
  <c r="P33" i="12"/>
  <c r="P34" i="12"/>
  <c r="P31" i="12"/>
  <c r="J52" i="7"/>
  <c r="P285" i="7"/>
  <c r="J286" i="7" s="1"/>
  <c r="J51" i="7" s="1"/>
  <c r="J291" i="7"/>
  <c r="J54" i="7" s="1"/>
  <c r="P233" i="7"/>
  <c r="J234" i="7" s="1"/>
  <c r="Q285" i="7" l="1"/>
  <c r="L286" i="7" s="1"/>
  <c r="L51" i="7" s="1"/>
  <c r="Q287" i="7"/>
  <c r="L287" i="7" s="1"/>
  <c r="U27" i="12"/>
  <c r="T29" i="12"/>
  <c r="X27" i="12"/>
  <c r="T28" i="12"/>
  <c r="AL288" i="7"/>
  <c r="J236" i="7"/>
  <c r="W27" i="12"/>
  <c r="S29" i="12"/>
  <c r="S28" i="12"/>
  <c r="AI314" i="7"/>
  <c r="AH315" i="7"/>
  <c r="AG314" i="7"/>
  <c r="AK314" i="7"/>
  <c r="R34" i="12"/>
  <c r="S26" i="12"/>
  <c r="R31" i="12"/>
  <c r="R35" i="12"/>
  <c r="R33" i="12"/>
  <c r="T26" i="12"/>
  <c r="AL290" i="7" l="1"/>
  <c r="AJ288" i="7"/>
  <c r="U29" i="12"/>
  <c r="Y27" i="12"/>
  <c r="U28" i="12"/>
  <c r="L52" i="7"/>
  <c r="L291" i="7"/>
  <c r="L54" i="7" s="1"/>
  <c r="T34" i="12"/>
  <c r="T31" i="12"/>
  <c r="X26" i="12"/>
  <c r="T33" i="12"/>
  <c r="T35" i="12"/>
  <c r="U26" i="12"/>
  <c r="S34" i="12"/>
  <c r="S35" i="12"/>
  <c r="W26" i="12"/>
  <c r="S31" i="12"/>
  <c r="S33" i="12"/>
  <c r="AH316" i="7"/>
  <c r="AG315" i="7"/>
  <c r="AI315" i="7"/>
  <c r="AK315" i="7"/>
  <c r="W29" i="12"/>
  <c r="W28" i="12"/>
  <c r="X28" i="12"/>
  <c r="X29" i="12"/>
  <c r="Y29" i="12" l="1"/>
  <c r="Y28" i="12"/>
  <c r="AH317" i="7"/>
  <c r="AG316" i="7"/>
  <c r="AK316" i="7"/>
  <c r="AI316" i="7"/>
  <c r="W31" i="12"/>
  <c r="W33" i="12"/>
  <c r="W35" i="12"/>
  <c r="W34" i="12"/>
  <c r="X34" i="12"/>
  <c r="X31" i="12"/>
  <c r="X35" i="12"/>
  <c r="X33" i="12"/>
  <c r="AK288" i="7"/>
  <c r="AK290" i="7" s="1"/>
  <c r="AF297" i="7" s="1"/>
  <c r="AJ290" i="7"/>
  <c r="AE297" i="7" s="1"/>
  <c r="U33" i="12"/>
  <c r="U31" i="12"/>
  <c r="Y26" i="12"/>
  <c r="U34" i="12"/>
  <c r="U35" i="12"/>
  <c r="Y34" i="12" l="1"/>
  <c r="Y35" i="12"/>
  <c r="Y31" i="12"/>
  <c r="Y33" i="12"/>
  <c r="AG297" i="7"/>
  <c r="P287" i="7" s="1"/>
  <c r="AH318" i="7"/>
  <c r="AK317" i="7"/>
  <c r="AI317" i="7"/>
  <c r="AG317" i="7"/>
  <c r="AG318" i="7" l="1"/>
  <c r="AH319" i="7"/>
  <c r="AI318" i="7"/>
  <c r="AK318" i="7"/>
  <c r="AG319" i="7" l="1"/>
  <c r="AK319" i="7"/>
  <c r="AH320" i="7"/>
  <c r="AI319" i="7"/>
  <c r="AH321" i="7" l="1"/>
  <c r="AK320" i="7"/>
  <c r="AG320" i="7"/>
  <c r="AI320" i="7"/>
  <c r="AG321" i="7" l="1"/>
  <c r="AI321" i="7"/>
  <c r="AH322" i="7"/>
  <c r="AK321" i="7"/>
  <c r="AG322" i="7" l="1"/>
  <c r="AI322" i="7"/>
  <c r="AK322" i="7"/>
  <c r="AH323" i="7"/>
  <c r="AG323" i="7" l="1"/>
  <c r="AK323" i="7"/>
  <c r="AH324" i="7"/>
  <c r="AI323" i="7"/>
  <c r="AK324" i="7" l="1"/>
  <c r="AI324" i="7"/>
  <c r="AG324" i="7"/>
  <c r="AH325" i="7"/>
  <c r="AK325" i="7" l="1"/>
  <c r="AG325" i="7"/>
  <c r="AI325" i="7"/>
  <c r="AH326" i="7"/>
  <c r="AK326" i="7" l="1"/>
  <c r="AG326" i="7"/>
  <c r="AH327" i="7"/>
  <c r="AI326" i="7"/>
  <c r="AH328" i="7" l="1"/>
  <c r="AI327" i="7"/>
  <c r="AK327" i="7"/>
  <c r="AG327" i="7"/>
  <c r="AI328" i="7" l="1"/>
  <c r="AG328" i="7"/>
  <c r="AH329" i="7"/>
  <c r="AK328" i="7"/>
  <c r="AG329" i="7" l="1"/>
  <c r="AH330" i="7"/>
  <c r="AK329" i="7"/>
  <c r="AI329" i="7"/>
  <c r="AK330" i="7" l="1"/>
  <c r="AH331" i="7"/>
  <c r="AI330" i="7"/>
  <c r="AG330" i="7"/>
  <c r="AH332" i="7" l="1"/>
  <c r="AK331" i="7"/>
  <c r="AI331" i="7"/>
  <c r="AG331" i="7"/>
  <c r="AG332" i="7" l="1"/>
  <c r="AI332" i="7"/>
  <c r="AH333" i="7"/>
  <c r="AK332" i="7"/>
  <c r="AH334" i="7" l="1"/>
  <c r="AK333" i="7"/>
  <c r="AG333" i="7"/>
  <c r="AI333" i="7"/>
  <c r="AI334" i="7" l="1"/>
  <c r="AI336" i="7" s="1"/>
  <c r="AG334" i="7"/>
  <c r="AG336" i="7" s="1"/>
  <c r="AK334" i="7"/>
  <c r="AK336" i="7" s="1"/>
</calcChain>
</file>

<file path=xl/comments1.xml><?xml version="1.0" encoding="utf-8"?>
<comments xmlns="http://schemas.openxmlformats.org/spreadsheetml/2006/main">
  <authors>
    <author>Offenberger, Konrad (LfL)</author>
    <author>Sperger, Christian (LfL)</author>
    <author>msbo</author>
    <author>Hierlmeier, Michael (LfL)</author>
    <author>Brandl, Maria (LfL)</author>
  </authors>
  <commentList>
    <comment ref="A1" authorId="0">
      <text>
        <r>
          <rPr>
            <sz val="12"/>
            <color indexed="81"/>
            <rFont val="Tahoma"/>
            <family val="2"/>
          </rPr>
          <t>Die Berechnung ist
je Betrieb.
Abfallanlagen können nicht (nur eingeschänkt) berechnet werden.</t>
        </r>
      </text>
    </comment>
    <comment ref="A3" authorId="0">
      <text>
        <r>
          <rPr>
            <b/>
            <sz val="9"/>
            <color indexed="81"/>
            <rFont val="Tahoma"/>
            <family val="2"/>
          </rPr>
          <t xml:space="preserve">- Dieser Rechner dient ausschließlich der Berechnung der Lagerkapazität nach DüV §12 sowie WDüngV.
- Auf Gefahren beim Absenken des Nachgärers sei hingewiesen (z.B. UEG)
- Einzelbetrieblich muss sowohl aus technischer, genehmigungsrechtlicher als auch aus Sicht weiterer fachrechtlicher Belange geprüft werden, ob eine Absenkung des Nächgärers möglich oder zulässig ist!
</t>
        </r>
      </text>
    </comment>
    <comment ref="A5" authorId="1">
      <text>
        <r>
          <rPr>
            <sz val="10"/>
            <color indexed="81"/>
            <rFont val="Tahoma"/>
            <family val="2"/>
          </rPr>
          <t>Pflichtfeld:
Betriebsnummer ist</t>
        </r>
        <r>
          <rPr>
            <b/>
            <sz val="10"/>
            <color indexed="81"/>
            <rFont val="Tahoma"/>
            <family val="2"/>
          </rPr>
          <t xml:space="preserve"> 
</t>
        </r>
        <r>
          <rPr>
            <sz val="10"/>
            <color indexed="81"/>
            <rFont val="Tahoma"/>
            <family val="2"/>
          </rPr>
          <t xml:space="preserve">hier </t>
        </r>
        <r>
          <rPr>
            <b/>
            <sz val="10"/>
            <color indexed="81"/>
            <rFont val="Tahoma"/>
            <family val="2"/>
          </rPr>
          <t>10stellig</t>
        </r>
        <r>
          <rPr>
            <sz val="10"/>
            <color indexed="81"/>
            <rFont val="Tahoma"/>
            <family val="2"/>
          </rPr>
          <t xml:space="preserve"> anzugeben
Bsp.: 1781001010
Betriebe ohne Betriebsnummer müssen mindestens die Landkreisnummer mit 7 Nullen angeben.
Bsp.: 1780000000</t>
        </r>
      </text>
    </comment>
    <comment ref="G5" authorId="2">
      <text>
        <r>
          <rPr>
            <sz val="10"/>
            <color indexed="81"/>
            <rFont val="Tahoma"/>
            <family val="2"/>
          </rPr>
          <t xml:space="preserve">Landwirtschaftlich genutzte Fläche.
</t>
        </r>
        <r>
          <rPr>
            <sz val="8"/>
            <color indexed="81"/>
            <rFont val="Tahoma"/>
            <family val="2"/>
          </rPr>
          <t>(Bei gewerblichen Tierhaltern/Biogasanlagen ohne Fläche muss bei  ha LF 0,1 und bei ha gesamte Grünlandfläche 0,1 eingetragen werden.)</t>
        </r>
      </text>
    </comment>
    <comment ref="H7" authorId="0">
      <text>
        <r>
          <rPr>
            <sz val="9"/>
            <color indexed="81"/>
            <rFont val="Tahoma"/>
            <family val="2"/>
          </rPr>
          <t>(Wasserschutzgebiet Zone II, Kulap,Vertragsnaturschutzprogramm)
Erst ab 2021 relevant</t>
        </r>
      </text>
    </comment>
    <comment ref="H8" authorId="2">
      <text>
        <r>
          <rPr>
            <sz val="10"/>
            <color indexed="81"/>
            <rFont val="Tahoma"/>
            <family val="2"/>
          </rPr>
          <t>Hier sind die Ackerflächen anzugeben, die nicht gedüngt und auch nicht genutzt werden</t>
        </r>
      </text>
    </comment>
    <comment ref="G9" authorId="0">
      <text>
        <r>
          <rPr>
            <sz val="9"/>
            <color indexed="81"/>
            <rFont val="Tahoma"/>
            <family val="2"/>
          </rPr>
          <t>(Bei gewerblichen Tierhaltern ohne Fläche muss bei  ha LF 0,1 und bei ha gesamt Grünlandfläche 0,1 eingetragen werden.)</t>
        </r>
      </text>
    </comment>
    <comment ref="H10" authorId="2">
      <text>
        <r>
          <rPr>
            <sz val="9"/>
            <color indexed="81"/>
            <rFont val="Tahoma"/>
            <family val="2"/>
          </rPr>
          <t>(Wasserschutzgebiet Zone II, Kulap,Vertragsnaturschutzprogramm)
Erst ab 2021 relevant</t>
        </r>
      </text>
    </comment>
    <comment ref="H11" authorId="2">
      <text>
        <r>
          <rPr>
            <sz val="10"/>
            <color indexed="81"/>
            <rFont val="Tahoma"/>
            <family val="2"/>
          </rPr>
          <t>Hier sind die Grünlandflächen anzugeben, die nicht gedüngt und auch nicht genutzt werden.</t>
        </r>
      </text>
    </comment>
    <comment ref="B12" authorId="2">
      <text>
        <r>
          <rPr>
            <sz val="10"/>
            <color indexed="81"/>
            <rFont val="Tahoma"/>
            <family val="2"/>
          </rPr>
          <t>Milchleistung = Abgelieferte Milchmenge / Anzahl Kühe</t>
        </r>
      </text>
    </comment>
    <comment ref="H12" authorId="0">
      <text>
        <r>
          <rPr>
            <sz val="10"/>
            <color indexed="81"/>
            <rFont val="Tahoma"/>
            <family val="2"/>
          </rPr>
          <t>Nur</t>
        </r>
        <r>
          <rPr>
            <b/>
            <sz val="10"/>
            <color indexed="81"/>
            <rFont val="Tahoma"/>
            <family val="2"/>
          </rPr>
          <t xml:space="preserve"> relevant für</t>
        </r>
        <r>
          <rPr>
            <sz val="10"/>
            <color indexed="81"/>
            <rFont val="Tahoma"/>
            <family val="2"/>
          </rPr>
          <t xml:space="preserve"> Betriebe, die ab 2020 mehr als 6 Monate Lagerraum für flüsssige Wirtschaftsdünger belegen müssen (Biogasbetriebe, Betriebe über 3 GV/ha).
Sie können durch "zusätzliche Ausbringfläche" den notwendigen Lagerraum verringern. 
Als </t>
        </r>
        <r>
          <rPr>
            <b/>
            <sz val="10"/>
            <color indexed="81"/>
            <rFont val="Tahoma"/>
            <family val="2"/>
          </rPr>
          <t>zuätzliche Ausbringfläche</t>
        </r>
        <r>
          <rPr>
            <sz val="10"/>
            <color indexed="81"/>
            <rFont val="Tahoma"/>
            <family val="2"/>
          </rPr>
          <t xml:space="preserve"> werden Flächen von anderen Betrieben anerkannt, auf denen </t>
        </r>
        <r>
          <rPr>
            <u/>
            <sz val="10"/>
            <color indexed="81"/>
            <rFont val="Tahoma"/>
            <family val="2"/>
          </rPr>
          <t>vertraglich</t>
        </r>
        <r>
          <rPr>
            <sz val="10"/>
            <color indexed="81"/>
            <rFont val="Tahoma"/>
            <family val="2"/>
          </rPr>
          <t xml:space="preserve"> die Ausbringung der flüssigen Wirtschaftsdünger bis zu einer Menge von 170 kg N/ha geregelt ist.
Flächen, auf denen weniger als 170 kg N/ha  flüssiger org. Dünger ausgebracht werden kann/darf, dürfen nur anteilig berücksichtigt werden. 
Ein Mustervertrag kann über folgende  Internetadresse aufgerufen werden: https://www.lfl.bayern.de/mam/cms07/iab/dateien/vertrag_zusätzliche_ausbringflächen_lagerkapazität_20190919.pdf
</t>
        </r>
      </text>
    </comment>
    <comment ref="B13" authorId="0">
      <text>
        <r>
          <rPr>
            <sz val="10"/>
            <color indexed="81"/>
            <rFont val="Tahoma"/>
            <family val="2"/>
          </rPr>
          <t>Angaben sind</t>
        </r>
        <r>
          <rPr>
            <b/>
            <sz val="10"/>
            <color indexed="81"/>
            <rFont val="Tahoma"/>
            <family val="2"/>
          </rPr>
          <t xml:space="preserve"> nur</t>
        </r>
        <r>
          <rPr>
            <sz val="10"/>
            <color indexed="81"/>
            <rFont val="Tahoma"/>
            <family val="2"/>
          </rPr>
          <t xml:space="preserve"> notwendig, wenn tatsächliche langjährige Niederschläge im Betrieb vom vorgeschlagenen langjährigem Mittel des Landkreises (C13) abweicht. </t>
        </r>
      </text>
    </comment>
    <comment ref="H13" authorId="0">
      <text>
        <r>
          <rPr>
            <sz val="10"/>
            <color indexed="81"/>
            <rFont val="Tahoma"/>
            <family val="2"/>
          </rPr>
          <t>Betriebe, die Erleichterungen ab 2020 nach Ausführungsverordnung Düngeverordnung (AVDüV) nutzen dürfen. ("grüner Betrieb")</t>
        </r>
      </text>
    </comment>
    <comment ref="E22" authorId="1">
      <text>
        <r>
          <rPr>
            <sz val="9"/>
            <color indexed="81"/>
            <rFont val="Tahoma"/>
            <family val="2"/>
          </rPr>
          <t>Diese Mengen und Nährstoffgehalte sind für die Plausibilisierung des Betriebes sinnvoll. Die Werte berechnen sich aus den Einsatzstoffen,  eingeleitetem Wasser und der Gasproduktion. Betriebe mit Separation können diese nur für die Gesamtplausibilisierung verwenden.  
Diese Werte dürfen verwendet werden:
- für die Düngebedarfsermittlung, soweit keine Wirtschaftsdüngeruntersuchung 
  vorgeschrieben ist (Regelungen rote Flächen beachten)
Diese Werte dürfen derzeit</t>
        </r>
        <r>
          <rPr>
            <b/>
            <u/>
            <sz val="9"/>
            <color indexed="81"/>
            <rFont val="Tahoma"/>
            <family val="2"/>
          </rPr>
          <t xml:space="preserve"> nicht </t>
        </r>
        <r>
          <rPr>
            <sz val="9"/>
            <color indexed="81"/>
            <rFont val="Tahoma"/>
            <family val="2"/>
          </rPr>
          <t>verwendet werden: 
- für die Deklaration bei Zu- und Abgängen von Gärresten</t>
        </r>
        <r>
          <rPr>
            <b/>
            <sz val="9"/>
            <color indexed="81"/>
            <rFont val="Tahoma"/>
            <family val="2"/>
          </rPr>
          <t xml:space="preserve">
</t>
        </r>
        <r>
          <rPr>
            <sz val="9"/>
            <color indexed="81"/>
            <rFont val="Tahoma"/>
            <family val="2"/>
          </rPr>
          <t xml:space="preserve">
</t>
        </r>
      </text>
    </comment>
    <comment ref="A35" authorId="0">
      <text>
        <r>
          <rPr>
            <sz val="9"/>
            <color indexed="81"/>
            <rFont val="Tahoma"/>
            <family val="2"/>
          </rPr>
          <t>Die anrechenbaren Stall/Lagerverluste sind schon abgezogen.</t>
        </r>
      </text>
    </comment>
    <comment ref="A40" authorId="0">
      <text>
        <r>
          <rPr>
            <b/>
            <sz val="9"/>
            <color indexed="81"/>
            <rFont val="Tahoma"/>
            <family val="2"/>
          </rPr>
          <t>Bei Stickstoff dürfen Stall/Lagerverluste nach DüV berücksichtigt werden.</t>
        </r>
        <r>
          <rPr>
            <sz val="9"/>
            <color indexed="81"/>
            <rFont val="Tahoma"/>
            <family val="2"/>
          </rPr>
          <t xml:space="preserve">
Bei pflanzlichen Stoffen, die in der Biogasanlage verwertet werden, dürfen 
5 % gasf. N-Verluste angerechnet werden.</t>
        </r>
      </text>
    </comment>
    <comment ref="A50" authorId="0">
      <text>
        <r>
          <rPr>
            <sz val="10"/>
            <color indexed="81"/>
            <rFont val="Tahoma"/>
            <family val="2"/>
          </rPr>
          <t>Notwendiger Lagerraum 
laut den angegebenen Tieren und Flächen.</t>
        </r>
        <r>
          <rPr>
            <b/>
            <sz val="10"/>
            <color indexed="81"/>
            <rFont val="Tahoma"/>
            <family val="2"/>
          </rPr>
          <t xml:space="preserve">
Dieser Rechner dient ausschließlich der Berechnung der Lagerkapazität nach DüV § 12, andere rechtliche Belange werden hier nicht miteinbezogen.</t>
        </r>
      </text>
    </comment>
    <comment ref="J51" authorId="1">
      <text>
        <r>
          <rPr>
            <sz val="9"/>
            <color indexed="81"/>
            <rFont val="Tahoma"/>
            <family val="2"/>
          </rPr>
          <t>Beispiel Berechnung des Güllelagerraumes anteilig:
Wenn ein Betrieb 50 % der Gülle auf eigenen Ausbringflächen verwerten kann, sind dafür nur 6 Monate notwendig. Also für den Gesamtbetrieb 7,5 Monate Lagerraum (50 % 6 Monate und 50 % 9 Monate)</t>
        </r>
      </text>
    </comment>
    <comment ref="A53" authorId="0">
      <text>
        <r>
          <rPr>
            <sz val="9"/>
            <color indexed="81"/>
            <rFont val="Tahoma"/>
            <family val="2"/>
          </rPr>
          <t>Nachgärer: Einzelbetrieblich muss sowohl aus technischer und genehmigungsrechtlicher als auch aus Sicht weiterer fachrechtlicher Belange (z.B. Wasserrecht, StörfallVO) geprüft werden, ob eine Absenkung des Nachgärers möglich oder zuslässig ist. 
Auf Gefahren beim Absenken des Nachgärers sei hingewiesen (z.B. UEG).
Berechnungsbeispiel siehe Tabellenblatt "Anrechnung Nachgärer"</t>
        </r>
      </text>
    </comment>
    <comment ref="A54" authorId="0">
      <text>
        <r>
          <rPr>
            <b/>
            <sz val="9"/>
            <color indexed="81"/>
            <rFont val="Tahoma"/>
            <family val="2"/>
          </rPr>
          <t xml:space="preserve">Eine Änderung der Substratzusammensetzung wird meist zu veränderten Lagerkapazitäten führen. </t>
        </r>
        <r>
          <rPr>
            <sz val="9"/>
            <color indexed="81"/>
            <rFont val="Tahoma"/>
            <family val="2"/>
          </rPr>
          <t xml:space="preserve">
</t>
        </r>
      </text>
    </comment>
    <comment ref="A56" authorId="1">
      <text>
        <r>
          <rPr>
            <sz val="9"/>
            <color indexed="81"/>
            <rFont val="Tahoma"/>
            <family val="2"/>
          </rPr>
          <t>Es werden für die Einsatzstoffe (Ausnahme zugekaufte Wirtschaftsdünger) Toleranzen akzeptiert.</t>
        </r>
      </text>
    </comment>
    <comment ref="EO62" authorId="0">
      <text>
        <r>
          <rPr>
            <b/>
            <sz val="9"/>
            <color indexed="81"/>
            <rFont val="Tahoma"/>
            <family val="2"/>
          </rPr>
          <t>15,44 % Gaserzeugung aus Wasser</t>
        </r>
      </text>
    </comment>
    <comment ref="A64" authorId="0">
      <text>
        <r>
          <rPr>
            <sz val="9"/>
            <color indexed="81"/>
            <rFont val="Tahoma"/>
            <family val="2"/>
          </rPr>
          <t xml:space="preserve">Bei Damwild und Rotwild muss bei Weide 100 % angegeben werden. </t>
        </r>
      </text>
    </comment>
    <comment ref="E64" authorId="0">
      <text>
        <r>
          <rPr>
            <sz val="10"/>
            <color indexed="81"/>
            <rFont val="Tahoma"/>
            <family val="2"/>
          </rPr>
          <t>Ø Jahresbestand = Anzahl Tiere * Haltungsdauer in Tagen / 365 Tage</t>
        </r>
      </text>
    </comment>
    <comment ref="M64" authorId="0">
      <text>
        <r>
          <rPr>
            <sz val="10"/>
            <color indexed="81"/>
            <rFont val="Tahoma"/>
            <family val="2"/>
          </rPr>
          <t>Wird die Gülle/Jauche bzw. der Stallmist</t>
        </r>
        <r>
          <rPr>
            <b/>
            <sz val="10"/>
            <color indexed="81"/>
            <rFont val="Tahoma"/>
            <family val="2"/>
          </rPr>
          <t xml:space="preserve"> in der eigenen Biogasanlage </t>
        </r>
        <r>
          <rPr>
            <sz val="10"/>
            <color indexed="81"/>
            <rFont val="Tahoma"/>
            <family val="2"/>
          </rPr>
          <t>vergoren? 
Wenn ja, dann Haken setzen.</t>
        </r>
      </text>
    </comment>
    <comment ref="EL64" authorId="0">
      <text>
        <r>
          <rPr>
            <b/>
            <sz val="9"/>
            <color indexed="81"/>
            <rFont val="Tahoma"/>
            <family val="2"/>
          </rPr>
          <t>887 = idealisierter Gasertrag</t>
        </r>
      </text>
    </comment>
    <comment ref="EM64" authorId="0">
      <text>
        <r>
          <rPr>
            <b/>
            <sz val="9"/>
            <color indexed="81"/>
            <rFont val="Tahoma"/>
            <family val="2"/>
          </rPr>
          <t>15,44 % bei idealisertem Gasertrag</t>
        </r>
      </text>
    </comment>
    <comment ref="E65" authorId="0">
      <text>
        <r>
          <rPr>
            <sz val="10"/>
            <color indexed="81"/>
            <rFont val="Tahoma"/>
            <family val="2"/>
          </rPr>
          <t xml:space="preserve">Angaben bei "Gülle" sind nur für Rinder und Schweine sinnvoll, da nur bei diesen Tierarten Gülle anfällt. 
Bei allen anderen Tierarten entsteht immer "Stallmist".
</t>
        </r>
        <r>
          <rPr>
            <u/>
            <sz val="10"/>
            <color indexed="81"/>
            <rFont val="Tahoma"/>
            <family val="2"/>
          </rPr>
          <t>Ausnahme:</t>
        </r>
        <r>
          <rPr>
            <sz val="10"/>
            <color indexed="81"/>
            <rFont val="Tahoma"/>
            <family val="2"/>
          </rPr>
          <t xml:space="preserve">
Bei Geflügelbetrieben mit Trockenkot ist die Anzahl der Tiere bei Gülle anzugeben. Der Anfall wird bei Stallmist angezeigt.</t>
        </r>
        <r>
          <rPr>
            <sz val="9"/>
            <color indexed="81"/>
            <rFont val="Tahoma"/>
            <family val="2"/>
          </rPr>
          <t xml:space="preserve">
</t>
        </r>
      </text>
    </comment>
    <comment ref="Z65" authorId="0">
      <text>
        <r>
          <rPr>
            <sz val="9"/>
            <color indexed="81"/>
            <rFont val="Tahoma"/>
            <family val="2"/>
          </rPr>
          <t>Damit Geflügel immer mit Mist gerechnet werden</t>
        </r>
      </text>
    </comment>
    <comment ref="G66" authorId="0">
      <text>
        <r>
          <rPr>
            <sz val="9"/>
            <color indexed="81"/>
            <rFont val="Tahoma"/>
            <family val="2"/>
          </rPr>
          <t xml:space="preserve">Bei Anbindehaltung kann mit einer geringen und bei Tiefstall mit hoher Einstreumenge gerechnet werden.
Die Einstreumenge muss bei einer Kontrolle nicht belegt werden.
</t>
        </r>
        <r>
          <rPr>
            <u/>
            <sz val="9"/>
            <color indexed="81"/>
            <rFont val="Tahoma"/>
            <family val="2"/>
          </rPr>
          <t>Einstreumenge in kg/GV und Tag</t>
        </r>
        <r>
          <rPr>
            <sz val="9"/>
            <color indexed="81"/>
            <rFont val="Tahoma"/>
            <family val="2"/>
          </rPr>
          <t xml:space="preserve">
gering = 3-4 kg
mittel   = 6-8 kg
hoch    &gt;11 kg</t>
        </r>
      </text>
    </comment>
    <comment ref="H66" authorId="0">
      <text>
        <r>
          <rPr>
            <sz val="10"/>
            <color indexed="81"/>
            <rFont val="Tahoma"/>
            <family val="2"/>
          </rPr>
          <t>Weide zwischen 01.04. und 30.09. in %.
Beipiel: 30 % bedeutet, dass in 30 % der Stunden die Tiere auf der Weide stehen und 70 % im Stall.</t>
        </r>
        <r>
          <rPr>
            <sz val="9"/>
            <color indexed="81"/>
            <rFont val="Tahoma"/>
            <family val="2"/>
          </rPr>
          <t xml:space="preserve">
</t>
        </r>
      </text>
    </comment>
    <comment ref="I66" authorId="0">
      <text>
        <r>
          <rPr>
            <sz val="10"/>
            <color indexed="81"/>
            <rFont val="Tahoma"/>
            <family val="2"/>
          </rPr>
          <t>Weide zwischen 01.10. und 31.03. in %.
Beipiel: 30 % bedeutet, dass in 30 % der Stunden die Tiere auf der Weide stehen und 70 % im Stall.
(Es ist das Kalenderjahr zu berücksichtigen 01.01.20 - 31.03.20 und 01.10.20 - 31.12.20)</t>
        </r>
      </text>
    </comment>
    <comment ref="A82" authorId="3">
      <text>
        <r>
          <rPr>
            <sz val="9"/>
            <color indexed="81"/>
            <rFont val="Tahoma"/>
            <family val="2"/>
          </rPr>
          <t xml:space="preserve">s. Blatt </t>
        </r>
        <r>
          <rPr>
            <b/>
            <sz val="9"/>
            <color indexed="81"/>
            <rFont val="Tahoma"/>
            <family val="2"/>
          </rPr>
          <t>"Abweichende Werte"</t>
        </r>
        <r>
          <rPr>
            <sz val="9"/>
            <color indexed="81"/>
            <rFont val="Tahoma"/>
            <family val="2"/>
          </rPr>
          <t xml:space="preserve">:
Eigene Zahlen </t>
        </r>
        <r>
          <rPr>
            <b/>
            <sz val="9"/>
            <color indexed="81"/>
            <rFont val="Tahoma"/>
            <family val="2"/>
          </rPr>
          <t>müssen</t>
        </r>
        <r>
          <rPr>
            <sz val="9"/>
            <color indexed="81"/>
            <rFont val="Tahoma"/>
            <family val="2"/>
          </rPr>
          <t xml:space="preserve"> bei einer Kontrolle  belegt werden.
Es dürfen nur Zahlen verwendet werden, die die zuständige Stelle genehmigt hat.</t>
        </r>
      </text>
    </comment>
    <comment ref="AG109" authorId="0">
      <text>
        <r>
          <rPr>
            <b/>
            <sz val="9"/>
            <color indexed="81"/>
            <rFont val="Tahoma"/>
            <family val="2"/>
          </rPr>
          <t>15,44 % Gaserzeugung aus Wasser</t>
        </r>
      </text>
    </comment>
    <comment ref="D110" authorId="1">
      <text>
        <r>
          <rPr>
            <b/>
            <sz val="9"/>
            <color indexed="81"/>
            <rFont val="Tahoma"/>
            <family val="2"/>
          </rPr>
          <t>Bei Grünland TS-Gehalt anpassen!!!</t>
        </r>
      </text>
    </comment>
    <comment ref="AD111" authorId="0">
      <text>
        <r>
          <rPr>
            <b/>
            <sz val="9"/>
            <color indexed="81"/>
            <rFont val="Tahoma"/>
            <family val="2"/>
          </rPr>
          <t>887 = idealisierter Gasertrag</t>
        </r>
        <r>
          <rPr>
            <sz val="9"/>
            <color indexed="81"/>
            <rFont val="Tahoma"/>
            <family val="2"/>
          </rPr>
          <t xml:space="preserve">
</t>
        </r>
      </text>
    </comment>
    <comment ref="AE111" authorId="0">
      <text>
        <r>
          <rPr>
            <b/>
            <sz val="9"/>
            <color indexed="81"/>
            <rFont val="Tahoma"/>
            <family val="2"/>
          </rPr>
          <t xml:space="preserve">15,44 % bei idealisertem Gasertrag
</t>
        </r>
      </text>
    </comment>
    <comment ref="D112" authorId="0">
      <text>
        <r>
          <rPr>
            <sz val="9"/>
            <color indexed="81"/>
            <rFont val="Tahoma"/>
            <family val="2"/>
          </rPr>
          <t>Bei Grünland in der Regel TM</t>
        </r>
      </text>
    </comment>
    <comment ref="F134" authorId="0">
      <text>
        <r>
          <rPr>
            <u/>
            <sz val="10"/>
            <color indexed="81"/>
            <rFont val="Tahoma"/>
            <family val="2"/>
          </rPr>
          <t>Angabe bei</t>
        </r>
        <r>
          <rPr>
            <sz val="10"/>
            <color indexed="81"/>
            <rFont val="Tahoma"/>
            <family val="2"/>
          </rPr>
          <t xml:space="preserve">  
Wirtschaftsdünger </t>
        </r>
        <r>
          <rPr>
            <b/>
            <sz val="10"/>
            <color indexed="81"/>
            <rFont val="Tahoma"/>
            <family val="2"/>
          </rPr>
          <t xml:space="preserve">tierischer Herkunft </t>
        </r>
        <r>
          <rPr>
            <sz val="10"/>
            <color indexed="81"/>
            <rFont val="Tahoma"/>
            <family val="2"/>
          </rPr>
          <t xml:space="preserve">:
Rind, Schwein, Geflügel, Sonstige Tiere
</t>
        </r>
        <r>
          <rPr>
            <u/>
            <sz val="10"/>
            <color indexed="81"/>
            <rFont val="Tahoma"/>
            <family val="2"/>
          </rPr>
          <t>Anbabe bei</t>
        </r>
        <r>
          <rPr>
            <sz val="10"/>
            <color indexed="81"/>
            <rFont val="Tahoma"/>
            <family val="2"/>
          </rPr>
          <t xml:space="preserve"> </t>
        </r>
        <r>
          <rPr>
            <b/>
            <sz val="10"/>
            <color indexed="81"/>
            <rFont val="Tahoma"/>
            <family val="2"/>
          </rPr>
          <t xml:space="preserve">pflanzlicher Herkunft </t>
        </r>
        <r>
          <rPr>
            <sz val="10"/>
            <color indexed="81"/>
            <rFont val="Tahoma"/>
            <family val="2"/>
          </rPr>
          <t xml:space="preserve">: </t>
        </r>
        <r>
          <rPr>
            <b/>
            <sz val="10"/>
            <color indexed="81"/>
            <rFont val="Tahoma"/>
            <family val="2"/>
          </rPr>
          <t>--</t>
        </r>
        <r>
          <rPr>
            <sz val="10"/>
            <color indexed="81"/>
            <rFont val="Tahoma"/>
            <family val="2"/>
          </rPr>
          <t xml:space="preserve">
</t>
        </r>
      </text>
    </comment>
    <comment ref="A164" authorId="0">
      <text>
        <r>
          <rPr>
            <sz val="10"/>
            <color indexed="81"/>
            <rFont val="Tahoma"/>
            <family val="2"/>
          </rPr>
          <t xml:space="preserve">Bei </t>
        </r>
        <r>
          <rPr>
            <b/>
            <sz val="10"/>
            <color indexed="81"/>
            <rFont val="Tahoma"/>
            <family val="2"/>
          </rPr>
          <t>offenen Gülle- und Jauchebehältern</t>
        </r>
        <r>
          <rPr>
            <sz val="10"/>
            <color indexed="81"/>
            <rFont val="Tahoma"/>
            <family val="2"/>
          </rPr>
          <t xml:space="preserve"> (nicht abgedeckte Läger) werden höhere Verdunstungsraten (30 %) angesetzt als bei abgedeckten Behältern. Deshalb müssen diese Flächen separat erfasst werden.</t>
        </r>
      </text>
    </comment>
    <comment ref="A165" authorId="0">
      <text>
        <r>
          <rPr>
            <b/>
            <sz val="10"/>
            <color indexed="81"/>
            <rFont val="Tahoma"/>
            <family val="2"/>
          </rPr>
          <t>Verunreinigtes Niederschlagswasser</t>
        </r>
        <r>
          <rPr>
            <sz val="10"/>
            <color indexed="81"/>
            <rFont val="Tahoma"/>
            <family val="2"/>
          </rPr>
          <t xml:space="preserve"> von nicht nass gereinigten Siloflächen und Ladeflächen muss separat erfasst werden.
 Die Menge darf zusammen mit dem Gärsaft nur 10 % der Gesamtlagermenge betragen. 
Bei höherem Anteil sind gesonderte Anforderungen an den Güllebehälter notwendig. 
Bei der Mengenberechnung wird eine  Verdunstungsrate von 15 % berücksichtigt.</t>
        </r>
      </text>
    </comment>
    <comment ref="A166" authorId="0">
      <text>
        <r>
          <rPr>
            <sz val="10"/>
            <color indexed="81"/>
            <rFont val="Tahoma"/>
            <family val="2"/>
          </rPr>
          <t xml:space="preserve">Als </t>
        </r>
        <r>
          <rPr>
            <b/>
            <sz val="10"/>
            <color indexed="81"/>
            <rFont val="Tahoma"/>
            <family val="2"/>
          </rPr>
          <t xml:space="preserve">sauberes Wasser </t>
        </r>
        <r>
          <rPr>
            <sz val="10"/>
            <color indexed="81"/>
            <rFont val="Tahoma"/>
            <family val="2"/>
          </rPr>
          <t>sind folgende Einleitungen zu berücksichtigen:
- nass gereinigte Siloflächen
- mit Plane abgedeckte Siloflächen
- abgedeckte Gülle- und Jaucheläger
- alle Stallmistläger 
Bei der Mengenberechnung wird eine  Verdunstungsrate von 15 % berücksichtigt.</t>
        </r>
        <r>
          <rPr>
            <sz val="9"/>
            <color indexed="81"/>
            <rFont val="Tahoma"/>
            <family val="2"/>
          </rPr>
          <t xml:space="preserve"> </t>
        </r>
      </text>
    </comment>
    <comment ref="G177" authorId="4">
      <text>
        <r>
          <rPr>
            <sz val="10"/>
            <color indexed="81"/>
            <rFont val="Tahoma"/>
            <family val="2"/>
          </rPr>
          <t>vorgeschlagener</t>
        </r>
        <r>
          <rPr>
            <b/>
            <sz val="10"/>
            <color indexed="81"/>
            <rFont val="Tahoma"/>
            <family val="2"/>
          </rPr>
          <t xml:space="preserve"> Mittelwert: </t>
        </r>
        <r>
          <rPr>
            <sz val="10"/>
            <color indexed="81"/>
            <rFont val="Tahoma"/>
            <family val="2"/>
          </rPr>
          <t>38 %</t>
        </r>
        <r>
          <rPr>
            <b/>
            <sz val="10"/>
            <color indexed="81"/>
            <rFont val="Tahoma"/>
            <family val="2"/>
          </rPr>
          <t xml:space="preserve">
Möglicher Angabebereich: </t>
        </r>
        <r>
          <rPr>
            <sz val="10"/>
            <color indexed="81"/>
            <rFont val="Tahoma"/>
            <family val="2"/>
          </rPr>
          <t>30 - 40 %</t>
        </r>
        <r>
          <rPr>
            <sz val="9"/>
            <color indexed="81"/>
            <rFont val="Tahoma"/>
            <family val="2"/>
          </rPr>
          <t xml:space="preserve">
</t>
        </r>
      </text>
    </comment>
    <comment ref="I205" authorId="1">
      <text>
        <r>
          <rPr>
            <sz val="9"/>
            <color indexed="81"/>
            <rFont val="Tahoma"/>
            <family val="2"/>
          </rPr>
          <t xml:space="preserve">Diese Werte werden für die Anlage 5 der DüV 2020 benötigt. </t>
        </r>
      </text>
    </comment>
    <comment ref="E227" authorId="0">
      <text>
        <r>
          <rPr>
            <sz val="9"/>
            <color indexed="81"/>
            <rFont val="Tahoma"/>
            <family val="2"/>
          </rPr>
          <t xml:space="preserve">TS in % aus der Untersuchung eintragen
</t>
        </r>
      </text>
    </comment>
    <comment ref="K227" authorId="4">
      <text>
        <r>
          <rPr>
            <sz val="9"/>
            <color indexed="81"/>
            <rFont val="Tahoma"/>
            <family val="2"/>
          </rPr>
          <t xml:space="preserve">TS in % aus der Untersuchung eintragen
</t>
        </r>
      </text>
    </comment>
    <comment ref="A250" authorId="0">
      <text>
        <r>
          <rPr>
            <sz val="10"/>
            <color indexed="81"/>
            <rFont val="Tahoma"/>
            <family val="2"/>
          </rPr>
          <t>In der Spalte "Fermenter" ist anzugeben:
Fermenter = 
 - Gärbehälter der mit Substrat befüllt und
 - Behälter (auch Teilmengen) die nie entleert werden 
    (z.B. Nachgärer oder 2. Fermenter) 
Nachgärer: Einzelbetrieblich muss sowohl aus technischer und genehmigungsrechtlicher als auch aus Sicht weiterer fachrechtlicher Belange (z.B. Wasserrecht) geprüft werden, ob eine Absenkung des Nachgärers möglich oder zuslässig ist. 
Auf Gefahren beim Absenken des Nachgärers sein hingewiesen (z.B. UEG).
Berechnungsbeispiel siehe Tabellenblatt "Anrechnung Nachgärer"</t>
        </r>
      </text>
    </comment>
    <comment ref="C252" authorId="0">
      <text>
        <r>
          <rPr>
            <b/>
            <sz val="9"/>
            <color indexed="81"/>
            <rFont val="Tahoma"/>
            <family val="2"/>
          </rPr>
          <t>Es sind alle Fermenter (Nächgärer) anzugeben:
Fermenter = 
 - Gärbehälter der mit Substrat befüllt und
 - Behälter (auch Teilmengen) die nie entleert werden 
    (z.B. Nachgärer oder 2. Fermenter) 
Nachgärer: Einzelbetrieblich muss sowohl aus technischer und genehmigungsrechtlicher als auch aus Sicht weiterer fachrechtlicher Belange (z.B. Wasserrecht, StörfallVO) geprüft werden, ob eine Absenkung des Nachgärers möglich oder zuslässig ist. 
Auf Gefahren beim Absenken des Nachgärers sei hingewiesen (z.B. UEG).
Berechnungsbeispiel siehe Tabellenblatt "Anrechnung Nachgärer"</t>
        </r>
      </text>
    </comment>
    <comment ref="A267" authorId="0">
      <text>
        <r>
          <rPr>
            <sz val="10"/>
            <color indexed="81"/>
            <rFont val="Tahoma"/>
            <family val="2"/>
          </rPr>
          <t>Güllekeller und Güllekanäle können auf das Fassungsvermögen angerechnet werden, wenn die Anforderungen nach Anlagenverordnung erfüllt  sind.</t>
        </r>
      </text>
    </comment>
    <comment ref="A273" authorId="3">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X287" authorId="0">
      <text>
        <r>
          <rPr>
            <b/>
            <sz val="9"/>
            <color indexed="81"/>
            <rFont val="Tahoma"/>
            <family val="2"/>
          </rPr>
          <t xml:space="preserve">Fläche Rinder Grünland
</t>
        </r>
      </text>
    </comment>
    <comment ref="A289" authorId="0">
      <text>
        <r>
          <rPr>
            <sz val="9"/>
            <color indexed="81"/>
            <rFont val="Tahoma"/>
            <family val="2"/>
          </rPr>
          <t>Wenn der Fermenter kleiner ist als die Menge, die aufgrund der Mindestverweilzeit notwendig ist, wird die Menge, die aus der Mindesverweilzeit berechnet ist, als Fermentergröße verwendet.
Nachgärer: Einzelbetrieblich muss sowohl aus technischer und genehmigungsrechtlicher als auch aus Sicht weiterer fachrechtlicher Belange (z.B. Wasserrecht, StörfallVO) geprüft werden, ob eine Absenkung des Nachgärers möglich oder zuslässig ist. 
Auf Gefahren beim Absenken des Nachgärers sei hingewiesen (z.B. UEG).
Berechnungsbeispiel siehe Tabellenblatt "Anrechnung Nachgärer"</t>
        </r>
      </text>
    </comment>
    <comment ref="P291" authorId="3">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A301" authorId="1">
      <text>
        <r>
          <rPr>
            <b/>
            <sz val="9"/>
            <color indexed="81"/>
            <rFont val="Tahoma"/>
            <family val="2"/>
          </rPr>
          <t xml:space="preserve">Es muss auch eigen verwertete Gülle/Mist/BGR angegeben werden. </t>
        </r>
        <r>
          <rPr>
            <sz val="9"/>
            <color indexed="81"/>
            <rFont val="Tahoma"/>
            <family val="2"/>
          </rPr>
          <t xml:space="preserve">
</t>
        </r>
      </text>
    </comment>
    <comment ref="D303" authorId="1">
      <text>
        <r>
          <rPr>
            <sz val="9"/>
            <color indexed="81"/>
            <rFont val="Tahoma"/>
            <family val="2"/>
          </rPr>
          <t>BGR=Biogasgärrest</t>
        </r>
      </text>
    </comment>
    <comment ref="E303" authorId="0">
      <text>
        <r>
          <rPr>
            <b/>
            <sz val="10"/>
            <color indexed="81"/>
            <rFont val="Tahoma"/>
            <family val="2"/>
          </rPr>
          <t xml:space="preserve">Ankreuzen, wenn Abgabe: </t>
        </r>
        <r>
          <rPr>
            <sz val="10"/>
            <color indexed="81"/>
            <rFont val="Tahoma"/>
            <family val="2"/>
          </rPr>
          <t xml:space="preserve">
 - an anderen Betriebe 
 - an die zusätzlichen Ausbringflächen 
Bei Verwertung im eigenen Betrieb nicht ankreuzen.</t>
        </r>
        <r>
          <rPr>
            <sz val="9"/>
            <color indexed="81"/>
            <rFont val="Tahoma"/>
            <family val="2"/>
          </rPr>
          <t xml:space="preserve">
</t>
        </r>
      </text>
    </comment>
  </commentList>
</comments>
</file>

<file path=xl/comments2.xml><?xml version="1.0" encoding="utf-8"?>
<comments xmlns="http://schemas.openxmlformats.org/spreadsheetml/2006/main">
  <authors>
    <author>Hierlmeier, Michael (LfL)</author>
    <author>Schubert, David (LfL)</author>
    <author>Offenberger, Konrad (LfL)</author>
  </authors>
  <commentList>
    <comment ref="A1" authorId="0">
      <text>
        <r>
          <rPr>
            <sz val="9"/>
            <color indexed="81"/>
            <rFont val="Tahoma"/>
            <family val="2"/>
          </rPr>
          <t>Abweichende Werte müssen bei einer Kontrolle  belegt werden.
Es dürfen nur Zahlen verwendet werden, die die landeszuständige Stelle genehmigt hat.</t>
        </r>
      </text>
    </comment>
    <comment ref="G5" authorId="1">
      <text>
        <r>
          <rPr>
            <sz val="9"/>
            <color indexed="81"/>
            <rFont val="Tahoma"/>
            <family val="2"/>
          </rPr>
          <t>Bei Geflügel ist der Anfall bei Mist einzutragen (bei Gülle keine Angabe erlaubt)</t>
        </r>
      </text>
    </comment>
    <comment ref="H5" authorId="2">
      <text>
        <r>
          <rPr>
            <sz val="9"/>
            <color indexed="81"/>
            <rFont val="Tahoma"/>
            <family val="2"/>
          </rPr>
          <t xml:space="preserve">Jaucheanfall bei geringer Einstreumenge. Angaben zum Jaucheanfall dürfen nur bei Rindern und Schweinen erfolgen. </t>
        </r>
      </text>
    </comment>
  </commentList>
</comments>
</file>

<file path=xl/comments3.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comments4.xml><?xml version="1.0" encoding="utf-8"?>
<comments xmlns="http://schemas.openxmlformats.org/spreadsheetml/2006/main">
  <authors>
    <author>Brandl, Maria (LfL)</author>
  </authors>
  <commentList>
    <comment ref="C6" authorId="0">
      <text>
        <r>
          <rPr>
            <b/>
            <sz val="9"/>
            <color indexed="81"/>
            <rFont val="Tahoma"/>
            <family val="2"/>
          </rPr>
          <t xml:space="preserve">Für Überschrift der Gruppen im Programm
1= Rind
2= Schwein
3= Geflügel
4= sonstige tierische Herkunft
5= Gärrest, Klärschlamm 
6= sonstige pflanzliche Herkunft 
</t>
        </r>
      </text>
    </comment>
    <comment ref="D6" authorId="0">
      <text>
        <r>
          <rPr>
            <b/>
            <sz val="9"/>
            <color indexed="81"/>
            <rFont val="Tahoma"/>
            <family val="2"/>
          </rPr>
          <t>Für Einheit im Programm
1= flüssig
2= fest</t>
        </r>
        <r>
          <rPr>
            <sz val="9"/>
            <color indexed="81"/>
            <rFont val="Tahoma"/>
            <family val="2"/>
          </rPr>
          <t xml:space="preserve">
</t>
        </r>
      </text>
    </comment>
  </commentList>
</comments>
</file>

<file path=xl/comments5.xml><?xml version="1.0" encoding="utf-8"?>
<comments xmlns="http://schemas.openxmlformats.org/spreadsheetml/2006/main">
  <authors>
    <author>Brandl, Maria (LfL)</author>
    <author>Lichti, Fabian (LfL)</author>
  </authors>
  <commentList>
    <comment ref="C2" authorId="0">
      <text>
        <r>
          <rPr>
            <b/>
            <u/>
            <sz val="9"/>
            <color indexed="81"/>
            <rFont val="Tahoma"/>
            <family val="2"/>
          </rPr>
          <t>NBB: Erzeugt auf</t>
        </r>
        <r>
          <rPr>
            <sz val="9"/>
            <color indexed="81"/>
            <rFont val="Tahoma"/>
            <family val="2"/>
          </rPr>
          <t xml:space="preserve">
Acker
Grünland
</t>
        </r>
      </text>
    </comment>
    <comment ref="D2" authorId="0">
      <text>
        <r>
          <rPr>
            <b/>
            <sz val="9"/>
            <color indexed="81"/>
            <rFont val="Tahoma"/>
            <family val="2"/>
          </rPr>
          <t>Status in der Fruchtfolge:</t>
        </r>
        <r>
          <rPr>
            <sz val="9"/>
            <color indexed="81"/>
            <rFont val="Tahoma"/>
            <family val="2"/>
          </rPr>
          <t xml:space="preserve">
Hfru=Hauptfrucht Acker
Nfru = Nebenfrucht (Zwischen- oder Zweitfrucht) 
GRL= Grünland </t>
        </r>
      </text>
    </comment>
    <comment ref="E2" authorId="0">
      <text>
        <r>
          <rPr>
            <b/>
            <sz val="9"/>
            <color indexed="81"/>
            <rFont val="Tahoma"/>
            <family val="2"/>
          </rPr>
          <t xml:space="preserve">Fruchtartengruppe (in den Basisdaten Tab. 1+2): 
</t>
        </r>
        <r>
          <rPr>
            <sz val="9"/>
            <color indexed="81"/>
            <rFont val="Tahoma"/>
            <family val="2"/>
          </rPr>
          <t>1 = Getreide
2 = Körnerleguminosen
3 = Ölfrüchte
4 = Faserpflanzen 
5 = Hackfrüchte
6 = Mehrschnittiger Feldfutterbau
7 = Futterpflanzen
8 = Energiepflanzen
9 = Vermehrungspflanzen
10 = Dauerkulturen
11= Sonstiges
12 = Gemüse
13 = Grünland
14 = Heil- und Gewürzpflanze
15 = Zierpflanzen
16= Körnermais, sonstige Körnernutzung</t>
        </r>
      </text>
    </comment>
    <comment ref="F2" authorId="0">
      <text>
        <r>
          <rPr>
            <b/>
            <sz val="9"/>
            <color indexed="81"/>
            <rFont val="Tahoma"/>
            <family val="2"/>
          </rPr>
          <t xml:space="preserve">Ernteprodukt:
</t>
        </r>
        <r>
          <rPr>
            <sz val="9"/>
            <color indexed="81"/>
            <rFont val="Tahoma"/>
            <family val="2"/>
          </rPr>
          <t xml:space="preserve">1 = Haupternteprodukt
2 = Nebenernteprodukt
3 = Haupt- und Nebenernteprodukt (ganze Pflanze)
</t>
        </r>
      </text>
    </comment>
    <comment ref="G2" authorId="0">
      <text>
        <r>
          <rPr>
            <b/>
            <u/>
            <sz val="9"/>
            <color indexed="81"/>
            <rFont val="Tahoma"/>
            <family val="2"/>
          </rPr>
          <t xml:space="preserve">Futtermittel </t>
        </r>
        <r>
          <rPr>
            <u/>
            <sz val="9"/>
            <color indexed="81"/>
            <rFont val="Tahoma"/>
            <family val="2"/>
          </rPr>
          <t>(für Liste Grobfuttermittel in NBB sowie Berechnung Grobfutteraufnahme):</t>
        </r>
        <r>
          <rPr>
            <sz val="9"/>
            <color indexed="81"/>
            <rFont val="Tahoma"/>
            <family val="2"/>
          </rPr>
          <t xml:space="preserve">
1=Grobfutter (GF)
2=Nichtgrobfutter
0 = üblicherweise kein Futtermittel für Tiere bzw. für Futtermitteltabell nicht nötig ist
</t>
        </r>
      </text>
    </comment>
    <comment ref="H2" authorId="0">
      <text>
        <r>
          <rPr>
            <b/>
            <u/>
            <sz val="9"/>
            <color indexed="81"/>
            <rFont val="Tahoma"/>
            <family val="2"/>
          </rPr>
          <t>Sortierung der komplette Liste Futtermittel und Ernteprodukte:</t>
        </r>
        <r>
          <rPr>
            <sz val="9"/>
            <color indexed="81"/>
            <rFont val="Tahoma"/>
            <family val="2"/>
          </rPr>
          <t xml:space="preserve">
1 = Getreide und Körnermais
2 = Körnerleguminosen
3 = Ölfrüchte und Faserpflanzen 
4 = Hackfrüchte
5 = Futterbau (z.B. Mais)
6 = Grünland
7 = Energiepflanzen
8 = Vermehrungspflanzen
9 = Dauerkulturen
10 = Gemüse
11 = Heil- und Gewürzpflanze
12 = Zierpflanzen
16 = Stroh
20 = sonstige Futtermittel
</t>
        </r>
      </text>
    </comment>
    <comment ref="I2" authorId="0">
      <text>
        <r>
          <rPr>
            <b/>
            <sz val="9"/>
            <color indexed="81"/>
            <rFont val="Tahoma"/>
            <family val="2"/>
          </rPr>
          <t xml:space="preserve">Sortierung im Programm:
</t>
        </r>
        <r>
          <rPr>
            <sz val="9"/>
            <color indexed="81"/>
            <rFont val="Tahoma"/>
            <family val="2"/>
          </rPr>
          <t>1 = wichtige Kultur
2 = nachrangig</t>
        </r>
      </text>
    </comment>
    <comment ref="AE2" authorId="0">
      <text>
        <r>
          <rPr>
            <sz val="9"/>
            <color indexed="81"/>
            <rFont val="Tahoma"/>
            <family val="2"/>
          </rPr>
          <t>Heil- und Gewürzpflanzen</t>
        </r>
      </text>
    </comment>
    <comment ref="AK7" authorId="1">
      <text>
        <r>
          <rPr>
            <b/>
            <sz val="9"/>
            <color indexed="81"/>
            <rFont val="Tahoma"/>
            <family val="2"/>
          </rPr>
          <t>Lichti, Fabian (LfL):</t>
        </r>
        <r>
          <rPr>
            <sz val="9"/>
            <color indexed="81"/>
            <rFont val="Tahoma"/>
            <family val="2"/>
          </rPr>
          <t xml:space="preserve">
lt. Gruber Futtermitteltabelle keine Unterscheidung nach Proteingehalten</t>
        </r>
      </text>
    </comment>
  </commentList>
</comments>
</file>

<file path=xl/sharedStrings.xml><?xml version="1.0" encoding="utf-8"?>
<sst xmlns="http://schemas.openxmlformats.org/spreadsheetml/2006/main" count="2732" uniqueCount="1265">
  <si>
    <t>Gülle</t>
  </si>
  <si>
    <t>m³</t>
  </si>
  <si>
    <t>%</t>
  </si>
  <si>
    <t>Nährstoffausscheidung</t>
  </si>
  <si>
    <t>N</t>
  </si>
  <si>
    <t>P2O5</t>
  </si>
  <si>
    <t>K2O</t>
  </si>
  <si>
    <t xml:space="preserve">Kälber (Zucht/Mast) bis 6 Monate </t>
  </si>
  <si>
    <t xml:space="preserve">Männliche Rinder über 2 Jahre, Zuchtbullen </t>
  </si>
  <si>
    <t>Weibliche Rinder über 1 Jahr bis 2 Jahre</t>
  </si>
  <si>
    <t>Andere weibliche Rinder über 2 Jahre</t>
  </si>
  <si>
    <t>Jauche</t>
  </si>
  <si>
    <t>nach</t>
  </si>
  <si>
    <t>Mist</t>
  </si>
  <si>
    <t>Anzahl</t>
  </si>
  <si>
    <t>Vorname/Name:</t>
  </si>
  <si>
    <t>Straße:</t>
  </si>
  <si>
    <t>PLZ/Ort:</t>
  </si>
  <si>
    <t>Telefon:</t>
  </si>
  <si>
    <t>Kalenderjahr:</t>
  </si>
  <si>
    <t>Milchleistung:</t>
  </si>
  <si>
    <t>kg/Kuh und Jahr</t>
  </si>
  <si>
    <t>Milchkuh ohne Kalb</t>
  </si>
  <si>
    <t xml:space="preserve"> --</t>
  </si>
  <si>
    <t>ha gesamte Ackerfläche</t>
  </si>
  <si>
    <t>ha gesamte Grünlandfläche</t>
  </si>
  <si>
    <t>Niederschlag:</t>
  </si>
  <si>
    <t>% Grünlandanteil</t>
  </si>
  <si>
    <t>Durchmesser</t>
  </si>
  <si>
    <r>
      <t>Behälter</t>
    </r>
    <r>
      <rPr>
        <sz val="10"/>
        <rFont val="Arial"/>
        <family val="2"/>
      </rPr>
      <t xml:space="preserve"> 1</t>
    </r>
  </si>
  <si>
    <r>
      <t>Behälter</t>
    </r>
    <r>
      <rPr>
        <sz val="10"/>
        <rFont val="Arial"/>
        <family val="2"/>
      </rPr>
      <t xml:space="preserve"> 2</t>
    </r>
    <r>
      <rPr>
        <sz val="10"/>
        <rFont val="Arial"/>
      </rPr>
      <t/>
    </r>
  </si>
  <si>
    <r>
      <t>Behälter</t>
    </r>
    <r>
      <rPr>
        <sz val="10"/>
        <rFont val="Arial"/>
        <family val="2"/>
      </rPr>
      <t xml:space="preserve"> 3</t>
    </r>
    <r>
      <rPr>
        <sz val="10"/>
        <rFont val="Arial"/>
      </rPr>
      <t/>
    </r>
  </si>
  <si>
    <t>Länge</t>
  </si>
  <si>
    <t>Breite</t>
  </si>
  <si>
    <t>menge</t>
  </si>
  <si>
    <t>Weide</t>
  </si>
  <si>
    <t>in %</t>
  </si>
  <si>
    <t>gering</t>
  </si>
  <si>
    <t>mittel</t>
  </si>
  <si>
    <t>hoch</t>
  </si>
  <si>
    <t>t</t>
  </si>
  <si>
    <t>Stall-</t>
  </si>
  <si>
    <t>mist</t>
  </si>
  <si>
    <t>Gülle,</t>
  </si>
  <si>
    <t>Anfall Betrieb</t>
  </si>
  <si>
    <t>Okt-Mär</t>
  </si>
  <si>
    <t>Apr-Sep</t>
  </si>
  <si>
    <r>
      <t>Stallmist</t>
    </r>
    <r>
      <rPr>
        <sz val="8"/>
        <rFont val="Arial"/>
        <family val="2"/>
      </rPr>
      <t>/Jauche</t>
    </r>
  </si>
  <si>
    <t>Einstreu-</t>
  </si>
  <si>
    <t>Programmname</t>
  </si>
  <si>
    <t>Rinder</t>
  </si>
  <si>
    <t>Männl. Rinder über 6 Monate bis 1 Jahr</t>
  </si>
  <si>
    <t>Männl. Rinder über 1 Jahr bis zwei Jahre (Mast)</t>
  </si>
  <si>
    <t>Mutterkuh mit Kalb bis 6 Monate</t>
  </si>
  <si>
    <t>Zuchtsauen mit 25 Ferkel bis 8 kg, Standard</t>
  </si>
  <si>
    <t>Zuchtsauen mit 25 Ferkel bis 8 kg, N-/P-reduziert</t>
  </si>
  <si>
    <t>Zuchtsauen mit 28 Ferkel bis 8 kg, Standard</t>
  </si>
  <si>
    <t>Zuchtsauen mit 28 Ferkel bis 8 kg, N-/P-reduziert</t>
  </si>
  <si>
    <t>Zuchtsauen mit 25 Ferkel bis 28 kg, Standard</t>
  </si>
  <si>
    <t>Zuchtsauen mit 25 Ferkel bis 28 kg, N-/P-reduziert</t>
  </si>
  <si>
    <t>Zuchtsauen mit 28 Ferkel bis 28 kg, Standard</t>
  </si>
  <si>
    <t>Zuchtsauen mit 28 Ferkel bis 28 kg, N-/P-reduziert</t>
  </si>
  <si>
    <t>Ferkel von 8 bis 28 kg, Standard</t>
  </si>
  <si>
    <t>Ferkel von 8 bis 28 kg, N-/P-reduziert</t>
  </si>
  <si>
    <t>Mastschweine (750 g TZ), Jungsauenaufzucht, Standard</t>
  </si>
  <si>
    <t>Mastschweine (750 g TZ), Jungsauenaufzucht, N-/P-reduziert</t>
  </si>
  <si>
    <t>Mastschweine (850 g TZ), Standard</t>
  </si>
  <si>
    <t>Mastschweine (850 g TZ), N-/P-reduziert</t>
  </si>
  <si>
    <t>Zuchteber</t>
  </si>
  <si>
    <t>Legehennen über 16 Wochen, Standard</t>
  </si>
  <si>
    <t>Legehennen über 16 Wochen, N-/P-reduziert</t>
  </si>
  <si>
    <t>Junghennen bis 16 Wochen, Standard</t>
  </si>
  <si>
    <t>Junghennen bis 16 Wochen, N-/P-reduziert</t>
  </si>
  <si>
    <t>Masthähnchen, Standard</t>
  </si>
  <si>
    <t>Masthähnchen, N-/P-reduziert</t>
  </si>
  <si>
    <t>Putenhähne bis 21 Wochen Mast, Standard</t>
  </si>
  <si>
    <t>Putenhähne bis 21 Wochen Mast, N-/P-reduziert</t>
  </si>
  <si>
    <t>Putenhennen bis 16 Wochen Mast, Standard</t>
  </si>
  <si>
    <t>Putenhennen bis 16 Wochen Mast, N-/P-reduziert</t>
  </si>
  <si>
    <t>Gänse Spätmast/Weidemast</t>
  </si>
  <si>
    <t>Pekingenten</t>
  </si>
  <si>
    <t>Flugenten</t>
  </si>
  <si>
    <t>Perlhuhn</t>
  </si>
  <si>
    <t>Lämmer, Schafe bis 1 Jahr, konventionell</t>
  </si>
  <si>
    <t>Mutterschafe (ohne Lamm), andere Schafe, konventionell</t>
  </si>
  <si>
    <t>Milchziegen mit Lämmer, andere Ziegen</t>
  </si>
  <si>
    <t>Pferde bis ein Jahr, Ponys und Kleinpferde</t>
  </si>
  <si>
    <t>Pferde über ein Jahr</t>
  </si>
  <si>
    <t>Kaninchenaufz. bis 3 kg (Häsin + 52 Jungtiere je Jahr)</t>
  </si>
  <si>
    <t>Damwild Alttier</t>
  </si>
  <si>
    <t>Damwild Kalb</t>
  </si>
  <si>
    <t>Rotwild Alttier</t>
  </si>
  <si>
    <t>Rotwild Kalb</t>
  </si>
  <si>
    <t>Lama/Alpaka</t>
  </si>
  <si>
    <t>Schweine</t>
  </si>
  <si>
    <t>Geflügel</t>
  </si>
  <si>
    <t xml:space="preserve">andere Tiere </t>
  </si>
  <si>
    <t>Erläuterung zur Zuordnung der Tiergruppen vom Mehrfachantrag zum 170 kg Programm</t>
  </si>
  <si>
    <t>Mehrfachantrag</t>
  </si>
  <si>
    <t>Excel Programm 170 kg</t>
  </si>
  <si>
    <t>Code</t>
  </si>
  <si>
    <t>Viehverzeichnis</t>
  </si>
  <si>
    <t>Tierauswahl</t>
  </si>
  <si>
    <t>01</t>
  </si>
  <si>
    <t xml:space="preserve">  Kälber (Zucht/Mast) bis 6 Monate</t>
  </si>
  <si>
    <t xml:space="preserve">  Kälber (Zucht/Mast) bis 6 Monate </t>
  </si>
  <si>
    <t>04</t>
  </si>
  <si>
    <t xml:space="preserve">  Männliche Rinder über 6 Monate bis 1 Jahr</t>
  </si>
  <si>
    <t>05</t>
  </si>
  <si>
    <t xml:space="preserve">  Männliche Rinder über 1 Jahr bis 2 Jahre</t>
  </si>
  <si>
    <t xml:space="preserve">  Männliche Rinder über 1 Jahr bis zwei Jahre (Mast)</t>
  </si>
  <si>
    <t>06</t>
  </si>
  <si>
    <t xml:space="preserve">  Männliche Rinder über 2 Jahre, Zuchtbullen</t>
  </si>
  <si>
    <t xml:space="preserve">  Männliche Rinder über 2 Jahre, Zuchtbullen </t>
  </si>
  <si>
    <t>07</t>
  </si>
  <si>
    <t xml:space="preserve">  Weibliche Rinder über 6 Monate bis 1 Jahr</t>
  </si>
  <si>
    <t xml:space="preserve">  Weibliche Rinder über 6 Monate bis 1 Jahr </t>
  </si>
  <si>
    <t>10</t>
  </si>
  <si>
    <t xml:space="preserve">  Weibliche Rinder über 1 Jahr bis 2 Jahre</t>
  </si>
  <si>
    <t>13</t>
  </si>
  <si>
    <t xml:space="preserve">  Andere weibliche Rinder über 2 Jahre</t>
  </si>
  <si>
    <t xml:space="preserve">  Kühe (Milch-, Mutter- und Ammenkühe)</t>
  </si>
  <si>
    <t xml:space="preserve">  Milchkuh </t>
  </si>
  <si>
    <t xml:space="preserve">  Mutterkuh mit Kalb bis 6 Monate</t>
  </si>
  <si>
    <t>21</t>
  </si>
  <si>
    <t xml:space="preserve">  Lämmer, Schafe bis 1 Jahr</t>
  </si>
  <si>
    <t xml:space="preserve">  Lämmer, Schafe bis 1 Jahr, konventionell</t>
  </si>
  <si>
    <t>22</t>
  </si>
  <si>
    <t xml:space="preserve">  Mutterschafe</t>
  </si>
  <si>
    <t>23</t>
  </si>
  <si>
    <t xml:space="preserve">  Andere Schafe über 1 Jahr, einschl. Hammel</t>
  </si>
  <si>
    <t xml:space="preserve">  Mutterschafe (ohne Lamm), andere Schafe, konvent.</t>
  </si>
  <si>
    <t>24</t>
  </si>
  <si>
    <t xml:space="preserve">  Schafböcke</t>
  </si>
  <si>
    <t>31</t>
  </si>
  <si>
    <t xml:space="preserve">  Mutterziegen, einschl. gedeckte Jungziegen</t>
  </si>
  <si>
    <t xml:space="preserve">  Milchziegen mit Lämmer, andere Ziegen</t>
  </si>
  <si>
    <t>32</t>
  </si>
  <si>
    <t xml:space="preserve">  Andere Ziegen über 1 Jahr</t>
  </si>
  <si>
    <t>41</t>
  </si>
  <si>
    <t xml:space="preserve">  Pferde bis 1 Jahr, Ponys und Kleinpferde</t>
  </si>
  <si>
    <t xml:space="preserve">  Pferde bis ein Jahr, Ponys und Kleinpferde</t>
  </si>
  <si>
    <t>42</t>
  </si>
  <si>
    <t xml:space="preserve">  Pferde über 1 Jahr</t>
  </si>
  <si>
    <t xml:space="preserve">  Pferde über ein Jahr</t>
  </si>
  <si>
    <t>50</t>
  </si>
  <si>
    <t xml:space="preserve">  Ferkel bis unter 30 kg</t>
  </si>
  <si>
    <t xml:space="preserve">  Ferkel von 8 bis 28 kg, Standard</t>
  </si>
  <si>
    <t xml:space="preserve">  Ferkel von 8 bis 28 kg, N-/P-reduziert</t>
  </si>
  <si>
    <t xml:space="preserve">  Zuchtsauen mit 25 Ferkel bis 8 kg, Standard</t>
  </si>
  <si>
    <t xml:space="preserve">  Zuchtsauen mit 25 Ferkel bis 8 kg, N-/P-reduziert</t>
  </si>
  <si>
    <t xml:space="preserve">  Zuchtsauen mit 28 Ferkel bis 8 kg, Standard</t>
  </si>
  <si>
    <t>51</t>
  </si>
  <si>
    <t xml:space="preserve"> Zuchtsauen ab erstem Abferkeln, Jungsauen trächtig</t>
  </si>
  <si>
    <t xml:space="preserve">  Zuchtsauen mit 28 Ferkel bis 8 kg, N-/P-reduziert</t>
  </si>
  <si>
    <t xml:space="preserve">  Zuchtsauen mit 25 Ferkel bis 28 kg, Standard</t>
  </si>
  <si>
    <t xml:space="preserve">  Zuchtsauen mit 25 Ferkel bis 28 kg, N-/P-reduziert</t>
  </si>
  <si>
    <t xml:space="preserve">  Zuchtsauen mit 28 Ferkel bis 28 kg, Standard</t>
  </si>
  <si>
    <t xml:space="preserve">  Zuchtsauen mit 28 Ferkel bis 28 kg, N-/P-reduziert</t>
  </si>
  <si>
    <t xml:space="preserve">  Mastschweine (750 g TZ), Jungsauenaufzucht, Standard</t>
  </si>
  <si>
    <t>53</t>
  </si>
  <si>
    <t xml:space="preserve">  Andere Zuchtschweine (ohne Eber) ab 50 kg</t>
  </si>
  <si>
    <t xml:space="preserve">  Mastschweine (750 g TZ), Jungsauenaufzucht, N-/P-red.</t>
  </si>
  <si>
    <t>54</t>
  </si>
  <si>
    <t xml:space="preserve">  Jungschweine (Zucht/Mast) 30 kg bis unter 50 kg</t>
  </si>
  <si>
    <t xml:space="preserve">  Mastschweine (850 g TZ), Standard</t>
  </si>
  <si>
    <t>55</t>
  </si>
  <si>
    <t xml:space="preserve">  Mastschweine (einschl. Eber) ab 50 kg</t>
  </si>
  <si>
    <t xml:space="preserve">  Mastschweine (850 g TZ), N-/P-reduziert</t>
  </si>
  <si>
    <t xml:space="preserve">  Zuchteber</t>
  </si>
  <si>
    <t>61</t>
  </si>
  <si>
    <t xml:space="preserve">  Legehennen über 6 Monate</t>
  </si>
  <si>
    <t xml:space="preserve">  Legehennen über 16 Wochen, Standard</t>
  </si>
  <si>
    <t xml:space="preserve">  Legehennen über 16 Wochen, N-/P-reduziert</t>
  </si>
  <si>
    <t>62</t>
  </si>
  <si>
    <t xml:space="preserve">  Küken und Junghennen bis 6 Monate zur Aufzucht</t>
  </si>
  <si>
    <t xml:space="preserve">  Junghennen bis 16 Wochen, Standard</t>
  </si>
  <si>
    <t xml:space="preserve">  Junghennen bis 16 Wochen, N-/P-reduziert</t>
  </si>
  <si>
    <t>63</t>
  </si>
  <si>
    <t xml:space="preserve">  Masthühner/-hähne und übrige Küken</t>
  </si>
  <si>
    <t xml:space="preserve">  Masthähnchen, Standard</t>
  </si>
  <si>
    <t xml:space="preserve">  Masthähnchen, N-/P-reduziert</t>
  </si>
  <si>
    <t>64</t>
  </si>
  <si>
    <t xml:space="preserve">  Enten</t>
  </si>
  <si>
    <t xml:space="preserve">  Pekingenten</t>
  </si>
  <si>
    <t xml:space="preserve">  Flugenten</t>
  </si>
  <si>
    <t>65</t>
  </si>
  <si>
    <t xml:space="preserve">  Gänse</t>
  </si>
  <si>
    <t xml:space="preserve">  Gänse Spätmast/Weidemast</t>
  </si>
  <si>
    <t xml:space="preserve">  Putenhähne bis 21 Wochen Mast, Standard</t>
  </si>
  <si>
    <t>66</t>
  </si>
  <si>
    <t xml:space="preserve">  Puten</t>
  </si>
  <si>
    <t xml:space="preserve">  Putenhähne bis 21 Wochen Mast, N-/P-reduziert</t>
  </si>
  <si>
    <t xml:space="preserve">  Putenhennen bis 16 Wochen Mast, Standard</t>
  </si>
  <si>
    <t xml:space="preserve">  Putenhennen bis 16 Wochen Mast, N-/P-reduziert</t>
  </si>
  <si>
    <t>72</t>
  </si>
  <si>
    <t xml:space="preserve">  Kaninchen</t>
  </si>
  <si>
    <t xml:space="preserve">  Kaninchenaufz. bis 3 kg (Häsin + 52 Jungtiere je Jahr)</t>
  </si>
  <si>
    <t>73</t>
  </si>
  <si>
    <t xml:space="preserve">  Damwild</t>
  </si>
  <si>
    <t xml:space="preserve">  Damwild Alttier</t>
  </si>
  <si>
    <t xml:space="preserve">  Damwild Kalb</t>
  </si>
  <si>
    <t>74</t>
  </si>
  <si>
    <t xml:space="preserve">  Rotwild</t>
  </si>
  <si>
    <t xml:space="preserve">  Rotwild Alttier</t>
  </si>
  <si>
    <t xml:space="preserve">  Rotwild Kalb</t>
  </si>
  <si>
    <t>82</t>
  </si>
  <si>
    <t xml:space="preserve">  Neuweltkameliden (Lama/Alpaka)</t>
  </si>
  <si>
    <t xml:space="preserve">  Lama/Alpaka</t>
  </si>
  <si>
    <t>85</t>
  </si>
  <si>
    <t xml:space="preserve">  Perlhühner</t>
  </si>
  <si>
    <t xml:space="preserve">  Perlhuhn</t>
  </si>
  <si>
    <t>Stallmist</t>
  </si>
  <si>
    <t>GV</t>
  </si>
  <si>
    <t>Milchleistung</t>
  </si>
  <si>
    <t>Tabelle 5:  Nährstoffgehalte organischer Dünger zum Zeitpunkt der Ausbringung,</t>
  </si>
  <si>
    <t>Im Programm hinterlegte Daten</t>
  </si>
  <si>
    <t xml:space="preserve">                  die anrechenbaren Stall- und Lagerungsverluste sind berücksichtigt</t>
  </si>
  <si>
    <t xml:space="preserve">                  (Stand: März 2018)</t>
  </si>
  <si>
    <t xml:space="preserve"> </t>
  </si>
  <si>
    <t>Einheit</t>
  </si>
  <si>
    <t>TM</t>
  </si>
  <si>
    <t>Organischer Dünger mit Code-Nr.</t>
  </si>
  <si>
    <t>Art 2</t>
  </si>
  <si>
    <t>Art 3</t>
  </si>
  <si>
    <t>in</t>
  </si>
  <si>
    <r>
      <t>N</t>
    </r>
    <r>
      <rPr>
        <b/>
        <vertAlign val="subscript"/>
        <sz val="10"/>
        <color indexed="8"/>
        <rFont val="Arial"/>
        <family val="2"/>
      </rPr>
      <t>gesamt</t>
    </r>
  </si>
  <si>
    <t>Rind</t>
  </si>
  <si>
    <t>Milchviehgülle (Grünland, 6 % TM)</t>
  </si>
  <si>
    <r>
      <t>m</t>
    </r>
    <r>
      <rPr>
        <vertAlign val="superscript"/>
        <sz val="10"/>
        <color indexed="8"/>
        <rFont val="Arial"/>
        <family val="2"/>
      </rPr>
      <t>3</t>
    </r>
  </si>
  <si>
    <t>Milchviehgülle (Grünland, 7,5 % TM)</t>
  </si>
  <si>
    <t>Milchviehgülle (Acker, 6 % TM)</t>
  </si>
  <si>
    <t>Milchviehgülle (Acker, 7,5 % TM)</t>
  </si>
  <si>
    <t>Mastbullengülle (7,5 % TM)</t>
  </si>
  <si>
    <t>Rindermist, Kurz-, Mittellangstand (18,5 % TM)</t>
  </si>
  <si>
    <t>Rindermist, Tiefstall (23 % TM)</t>
  </si>
  <si>
    <r>
      <t>Rinderjauche (</t>
    </r>
    <r>
      <rPr>
        <sz val="10"/>
        <color indexed="12"/>
        <rFont val="Arial"/>
        <family val="2"/>
      </rPr>
      <t>1,8</t>
    </r>
    <r>
      <rPr>
        <sz val="10"/>
        <color indexed="8"/>
        <rFont val="Arial"/>
        <family val="2"/>
      </rPr>
      <t xml:space="preserve"> % TM)</t>
    </r>
  </si>
  <si>
    <t>Schwein</t>
  </si>
  <si>
    <t>Mastschweinegülle (5 % TM), Standardfutter</t>
  </si>
  <si>
    <t>Mastschweinegülle (5 % TM), N-/P-red. Fütterung</t>
  </si>
  <si>
    <t>Zuchtsauengülle (mit Ferkel, 5 % TM), Standardfutter</t>
  </si>
  <si>
    <t>Zuchtsauengülle (mit Ferkel, 5 % TM), N-/P-red. Fütterung</t>
  </si>
  <si>
    <t>Schweinemist (21 % TM)</t>
  </si>
  <si>
    <r>
      <t>Schweinejauche (</t>
    </r>
    <r>
      <rPr>
        <sz val="10"/>
        <color indexed="12"/>
        <rFont val="Arial"/>
        <family val="2"/>
      </rPr>
      <t>1,8 </t>
    </r>
    <r>
      <rPr>
        <sz val="10"/>
        <color indexed="8"/>
        <rFont val="Arial"/>
        <family val="2"/>
      </rPr>
      <t>% TM)</t>
    </r>
  </si>
  <si>
    <t>Hühnermist (50 % TM)</t>
  </si>
  <si>
    <t xml:space="preserve">Hühnerkot (50 % TM) </t>
  </si>
  <si>
    <t>Putenmist (50 % TM)</t>
  </si>
  <si>
    <t>Masthähnchenmist (60 % TM)</t>
  </si>
  <si>
    <t>Pekingentenmist (30 % TM)</t>
  </si>
  <si>
    <t>Flugentenmist (30 % TM)</t>
  </si>
  <si>
    <t>sonstige tierische Herkunft</t>
  </si>
  <si>
    <t>Pferdemist (30 % TM)</t>
  </si>
  <si>
    <r>
      <t>Schaf</t>
    </r>
    <r>
      <rPr>
        <sz val="10"/>
        <color indexed="12"/>
        <rFont val="Arial"/>
        <family val="2"/>
      </rPr>
      <t>- und Ziegen</t>
    </r>
    <r>
      <rPr>
        <sz val="10"/>
        <color indexed="8"/>
        <rFont val="Arial"/>
        <family val="2"/>
      </rPr>
      <t>mist (30 % TM)</t>
    </r>
  </si>
  <si>
    <t>Kaninchenmist (30 % TM)</t>
  </si>
  <si>
    <t xml:space="preserve">                     (Stand: Januar 2018)</t>
  </si>
  <si>
    <t>Im Programm hinterlegte Daten aus Tabelle 4a+b+c</t>
  </si>
  <si>
    <t>Großvieh-</t>
  </si>
  <si>
    <r>
      <t>Gülleanfall in m</t>
    </r>
    <r>
      <rPr>
        <b/>
        <vertAlign val="superscript"/>
        <sz val="10"/>
        <rFont val="Arial"/>
        <family val="2"/>
      </rPr>
      <t>3</t>
    </r>
  </si>
  <si>
    <t xml:space="preserve">Einstreu </t>
  </si>
  <si>
    <r>
      <t xml:space="preserve">Festmist (nach DüV) </t>
    </r>
    <r>
      <rPr>
        <b/>
        <vertAlign val="superscript"/>
        <sz val="10"/>
        <rFont val="Arial"/>
        <family val="2"/>
      </rPr>
      <t>5)</t>
    </r>
  </si>
  <si>
    <t>Jaucheanfall</t>
  </si>
  <si>
    <r>
      <t xml:space="preserve">Jaucheanfall </t>
    </r>
    <r>
      <rPr>
        <b/>
        <vertAlign val="superscript"/>
        <sz val="10"/>
        <rFont val="Arial"/>
        <family val="2"/>
      </rPr>
      <t>4)</t>
    </r>
  </si>
  <si>
    <t>Verluste in %</t>
  </si>
  <si>
    <t>einheit</t>
  </si>
  <si>
    <t>kg je mittl.</t>
  </si>
  <si>
    <r>
      <t xml:space="preserve">je mittl. Jahresbestand </t>
    </r>
    <r>
      <rPr>
        <b/>
        <vertAlign val="superscript"/>
        <sz val="10"/>
        <rFont val="Arial"/>
        <family val="2"/>
      </rPr>
      <t>2)</t>
    </r>
  </si>
  <si>
    <r>
      <t>in m</t>
    </r>
    <r>
      <rPr>
        <b/>
        <vertAlign val="superscript"/>
        <sz val="10"/>
        <rFont val="Arial"/>
        <family val="2"/>
      </rPr>
      <t xml:space="preserve">3 </t>
    </r>
    <r>
      <rPr>
        <b/>
        <sz val="10"/>
        <rFont val="Arial"/>
        <family val="2"/>
      </rPr>
      <t xml:space="preserve">je mittl. </t>
    </r>
  </si>
  <si>
    <t>Stall- und Lager</t>
  </si>
  <si>
    <t>nach DüV</t>
  </si>
  <si>
    <r>
      <t xml:space="preserve">Jahresbestand </t>
    </r>
    <r>
      <rPr>
        <b/>
        <vertAlign val="superscript"/>
        <sz val="10"/>
        <rFont val="Arial"/>
        <family val="2"/>
      </rPr>
      <t>2)</t>
    </r>
  </si>
  <si>
    <t>(nach DüV)</t>
  </si>
  <si>
    <t>Anfall in t/Jahr</t>
  </si>
  <si>
    <r>
      <t>Jahresbest.²</t>
    </r>
    <r>
      <rPr>
        <b/>
        <vertAlign val="superscript"/>
        <sz val="10"/>
        <rFont val="Arial"/>
        <family val="2"/>
      </rPr>
      <t>)</t>
    </r>
  </si>
  <si>
    <t>Mist,</t>
  </si>
  <si>
    <r>
      <t>P</t>
    </r>
    <r>
      <rPr>
        <b/>
        <vertAlign val="subscript"/>
        <sz val="10"/>
        <rFont val="Arial"/>
        <family val="2"/>
      </rPr>
      <t>2</t>
    </r>
    <r>
      <rPr>
        <b/>
        <sz val="10"/>
        <rFont val="Arial"/>
        <family val="2"/>
      </rPr>
      <t>O</t>
    </r>
    <r>
      <rPr>
        <b/>
        <vertAlign val="subscript"/>
        <sz val="10"/>
        <rFont val="Arial"/>
        <family val="2"/>
      </rPr>
      <t>5</t>
    </r>
  </si>
  <si>
    <r>
      <t>K</t>
    </r>
    <r>
      <rPr>
        <b/>
        <vertAlign val="subscript"/>
        <sz val="10"/>
        <rFont val="Arial"/>
        <family val="2"/>
      </rPr>
      <t>2</t>
    </r>
    <r>
      <rPr>
        <b/>
        <sz val="10"/>
        <rFont val="Arial"/>
        <family val="2"/>
      </rPr>
      <t>O</t>
    </r>
  </si>
  <si>
    <r>
      <t xml:space="preserve">DüV </t>
    </r>
    <r>
      <rPr>
        <b/>
        <vertAlign val="superscript"/>
        <sz val="10"/>
        <rFont val="Arial"/>
        <family val="2"/>
      </rPr>
      <t>3)</t>
    </r>
  </si>
  <si>
    <t>kg/Tag</t>
  </si>
  <si>
    <t>LfL</t>
  </si>
  <si>
    <t xml:space="preserve">nach DüV </t>
  </si>
  <si>
    <r>
      <t xml:space="preserve">Ackerbetrieb </t>
    </r>
    <r>
      <rPr>
        <b/>
        <vertAlign val="superscript"/>
        <sz val="10"/>
        <rFont val="Arial"/>
        <family val="2"/>
      </rPr>
      <t>1)</t>
    </r>
    <r>
      <rPr>
        <b/>
        <sz val="10"/>
        <rFont val="Arial"/>
        <family val="2"/>
      </rPr>
      <t>, Stallhaltung</t>
    </r>
  </si>
  <si>
    <t xml:space="preserve">Weibliche Rinder über 6 Monate bis 1 Jahr </t>
  </si>
  <si>
    <t>Milchkuh (6000 kg Milch)</t>
  </si>
  <si>
    <t>Milchkuh (8000 kg Milch)</t>
  </si>
  <si>
    <t>Milchkuh (10000 kg Milch)</t>
  </si>
  <si>
    <t>Milchkuh (12000 kg Milch)</t>
  </si>
  <si>
    <r>
      <t xml:space="preserve">Grünlandbetrieb </t>
    </r>
    <r>
      <rPr>
        <b/>
        <vertAlign val="superscript"/>
        <sz val="10"/>
        <rFont val="Arial"/>
        <family val="2"/>
      </rPr>
      <t>1)</t>
    </r>
    <r>
      <rPr>
        <b/>
        <sz val="10"/>
        <rFont val="Arial"/>
        <family val="2"/>
      </rPr>
      <t>, konventionell</t>
    </r>
  </si>
  <si>
    <t>je 1000 Tiere</t>
  </si>
  <si>
    <t>Sonstige</t>
  </si>
  <si>
    <t>je Tier</t>
  </si>
  <si>
    <t>49 Tierartengruppen</t>
  </si>
  <si>
    <t>Grünlandanteil in %</t>
  </si>
  <si>
    <t>Milchkuh Acker</t>
  </si>
  <si>
    <t>Milchkuh GL</t>
  </si>
  <si>
    <t>Stroh</t>
  </si>
  <si>
    <t>Anfall</t>
  </si>
  <si>
    <t>Verluste</t>
  </si>
  <si>
    <t>Mist,Jauche</t>
  </si>
  <si>
    <t>Tiergruppe</t>
  </si>
  <si>
    <t>Anzahl ohne Weide</t>
  </si>
  <si>
    <t>m³/Jahr</t>
  </si>
  <si>
    <t>t/Jahr</t>
  </si>
  <si>
    <t>Nährstoffanfall Betrieb</t>
  </si>
  <si>
    <t>Festmist</t>
  </si>
  <si>
    <t>P205</t>
  </si>
  <si>
    <t>Tierart</t>
  </si>
  <si>
    <t>Jauche Nährstoffg.</t>
  </si>
  <si>
    <t>Tierbezeichnung</t>
  </si>
  <si>
    <t>Nährstoffanfall</t>
  </si>
  <si>
    <t>Anfall Mist</t>
  </si>
  <si>
    <t>Nährstoffauss. Anfall</t>
  </si>
  <si>
    <t>Tierart wählen</t>
  </si>
  <si>
    <t>Gesamt</t>
  </si>
  <si>
    <t>kg/t bzw. m³</t>
  </si>
  <si>
    <t>flüssig</t>
  </si>
  <si>
    <t>fest</t>
  </si>
  <si>
    <t>fest in t</t>
  </si>
  <si>
    <t>je Tier und Jahr (365 Tage)</t>
  </si>
  <si>
    <t>kg</t>
  </si>
  <si>
    <t>Nährstoffgehalt/t</t>
  </si>
  <si>
    <t>spez. Gewicht</t>
  </si>
  <si>
    <t>Ø Jahresbestand</t>
  </si>
  <si>
    <t>spez.Gew.</t>
  </si>
  <si>
    <t>SM</t>
  </si>
  <si>
    <t>Lager</t>
  </si>
  <si>
    <t>Lagerraum m³</t>
  </si>
  <si>
    <t>Zu-/Verpacht</t>
  </si>
  <si>
    <t>Lager 4</t>
  </si>
  <si>
    <t xml:space="preserve">Zu- und Verpacht von Lagerkapazität </t>
  </si>
  <si>
    <t xml:space="preserve">Mindestanforderung nach DüV wird eingehalten: </t>
  </si>
  <si>
    <t>GV/ha</t>
  </si>
  <si>
    <t>bei Anteil</t>
  </si>
  <si>
    <t>ger.</t>
  </si>
  <si>
    <t>Nähstoffgehalt Stroh kg/t</t>
  </si>
  <si>
    <t>Einstreu</t>
  </si>
  <si>
    <t>kg je GV und Tag</t>
  </si>
  <si>
    <t>Einstreu kg je GV und Tag</t>
  </si>
  <si>
    <t>Menge Zu- und Verpacht m³</t>
  </si>
  <si>
    <t>Anfall in dieser Zeit (bzw. mindestens benötigter Lagerraum) in m³</t>
  </si>
  <si>
    <t>Zupacht</t>
  </si>
  <si>
    <t>Verpacht</t>
  </si>
  <si>
    <t>Fläche im grünen Gebiet (%) ab 2020</t>
  </si>
  <si>
    <t>Plaus. Tiere ohne Gülle</t>
  </si>
  <si>
    <t>kg/GV und Tag</t>
  </si>
  <si>
    <t>GV/ha im Betrieb:</t>
  </si>
  <si>
    <t>bis 2020</t>
  </si>
  <si>
    <t>ab 2020</t>
  </si>
  <si>
    <t>Lager in Monaten Stallmist</t>
  </si>
  <si>
    <t>Silosaft</t>
  </si>
  <si>
    <t>% TS</t>
  </si>
  <si>
    <t>spez. Gew.</t>
  </si>
  <si>
    <t xml:space="preserve">Anfall Gülle </t>
  </si>
  <si>
    <t xml:space="preserve">gesamt </t>
  </si>
  <si>
    <t xml:space="preserve">Anfall Jauche </t>
  </si>
  <si>
    <t>gesamt</t>
  </si>
  <si>
    <t>Menge</t>
  </si>
  <si>
    <t>TS</t>
  </si>
  <si>
    <t>Wasser</t>
  </si>
  <si>
    <t>org. Dünger</t>
  </si>
  <si>
    <t>Menge in m³</t>
  </si>
  <si>
    <t>Menge in t</t>
  </si>
  <si>
    <t>TS in %</t>
  </si>
  <si>
    <t>pro Jahr</t>
  </si>
  <si>
    <t>mit Lichti</t>
  </si>
  <si>
    <t>für Biogas wird es eine Zeile "sonstige Einsatzstoffe" geben/ diese sonstigen Einsatzstoffe dürfen bis zu 5% der FM betragen</t>
  </si>
  <si>
    <t>Eigenstromanteil: wird mit 9% angesetzt</t>
  </si>
  <si>
    <t>basisdaten werden von der Landtechnik ergänzt</t>
  </si>
  <si>
    <t>mit Gasertrag L / kg org TS</t>
  </si>
  <si>
    <t xml:space="preserve">Methangehalt </t>
  </si>
  <si>
    <t>org TS</t>
  </si>
  <si>
    <t xml:space="preserve">Methangewicht </t>
  </si>
  <si>
    <t>CO2 Gewicht</t>
  </si>
  <si>
    <t>Wasser in TS (Gewicht)</t>
  </si>
  <si>
    <t>mittlere Verweildauer in Tagen</t>
  </si>
  <si>
    <t>Abbaurate wird mit verkaufen Gasertrag korrigiert</t>
  </si>
  <si>
    <t>t/m³</t>
  </si>
  <si>
    <t>kann von Gasertrag und Methangehalt abgeleitet werden</t>
  </si>
  <si>
    <t>ja</t>
  </si>
  <si>
    <t>nein</t>
  </si>
  <si>
    <t>Tiere für Beech. Lagerraum flüssig+fest</t>
  </si>
  <si>
    <t>fest in m³</t>
  </si>
  <si>
    <t xml:space="preserve">1) Bei offenen Behältern sind von der Höhe 20 cm (Freiraum) und bei geschlossenen Behältern 10 cm abzuziehen. </t>
  </si>
  <si>
    <r>
      <t>Höhe</t>
    </r>
    <r>
      <rPr>
        <b/>
        <vertAlign val="superscript"/>
        <sz val="10"/>
        <rFont val="Arial"/>
        <family val="2"/>
      </rPr>
      <t>1)</t>
    </r>
  </si>
  <si>
    <t>Betrieb mit Erleichterungen (ab 2020)</t>
  </si>
  <si>
    <t>Eingabemöglichkeit für abweichende Werte</t>
  </si>
  <si>
    <t>TS-Gehalt</t>
  </si>
  <si>
    <t>Hausabwässer Anzahl Personen</t>
  </si>
  <si>
    <t>ha zusätzliche Ausbringfläche</t>
  </si>
  <si>
    <t xml:space="preserve"> welcher Anteil in % wird separiert</t>
  </si>
  <si>
    <r>
      <t>P</t>
    </r>
    <r>
      <rPr>
        <vertAlign val="subscript"/>
        <sz val="10"/>
        <rFont val="Arial"/>
        <family val="2"/>
      </rPr>
      <t>2</t>
    </r>
    <r>
      <rPr>
        <sz val="10"/>
        <rFont val="Arial"/>
        <family val="2"/>
      </rPr>
      <t>O</t>
    </r>
    <r>
      <rPr>
        <vertAlign val="subscript"/>
        <sz val="10"/>
        <rFont val="Arial"/>
        <family val="2"/>
      </rPr>
      <t>5</t>
    </r>
  </si>
  <si>
    <r>
      <t>K</t>
    </r>
    <r>
      <rPr>
        <vertAlign val="subscript"/>
        <sz val="10"/>
        <rFont val="Arial"/>
        <family val="2"/>
      </rPr>
      <t>2</t>
    </r>
    <r>
      <rPr>
        <sz val="10"/>
        <rFont val="Arial"/>
        <family val="2"/>
      </rPr>
      <t>O</t>
    </r>
  </si>
  <si>
    <t>2) Bezogen auf die LF abzüglich Flächen ohne Nutzung und ohne Düngung</t>
  </si>
  <si>
    <t>ha</t>
  </si>
  <si>
    <t xml:space="preserve">     und den zusätzlichen Ausbringflächen</t>
  </si>
  <si>
    <t>Zwiz.</t>
  </si>
  <si>
    <t>Mindestanfall für Gärsaft  - mind. 3 % des Volumens des größten Silos</t>
  </si>
  <si>
    <r>
      <t>Sonstige Wasserzugabe im Jahr</t>
    </r>
    <r>
      <rPr>
        <sz val="9"/>
        <rFont val="Arial"/>
        <family val="2"/>
      </rPr>
      <t xml:space="preserve"> </t>
    </r>
    <r>
      <rPr>
        <sz val="8"/>
        <rFont val="Arial"/>
        <family val="2"/>
      </rPr>
      <t>(z.B. Dachrinnenwasser, Reinigungswasser)</t>
    </r>
  </si>
  <si>
    <t>Flächen nicht abgedeckter Gülle- und Jaucheläger</t>
  </si>
  <si>
    <t>Fläche verunreinigtes Wasser z.B. ungereinigte Silofläche oder Ladefläche</t>
  </si>
  <si>
    <r>
      <t>Sonstige Flächen</t>
    </r>
    <r>
      <rPr>
        <sz val="8"/>
        <rFont val="Arial"/>
        <family val="2"/>
      </rPr>
      <t xml:space="preserve"> (gereinigte Siloflächen, Stallmistläger, abgedeckte Silo- und Gülleläger)</t>
    </r>
  </si>
  <si>
    <t>ha LF nach MFA</t>
  </si>
  <si>
    <t>LKR_txt</t>
  </si>
  <si>
    <t>lkrname</t>
  </si>
  <si>
    <t>mm</t>
  </si>
  <si>
    <t>Ingolstadt</t>
  </si>
  <si>
    <t>M┬ünchen</t>
  </si>
  <si>
    <t>München</t>
  </si>
  <si>
    <t>Rosenheim</t>
  </si>
  <si>
    <t>AltÔÇØtting</t>
  </si>
  <si>
    <t>Altötting</t>
  </si>
  <si>
    <t>Berchtesgadener Land</t>
  </si>
  <si>
    <t>Bad TÔÇØlz-Wolfratshausen</t>
  </si>
  <si>
    <t>Bad Tölz-Wolfratshausen</t>
  </si>
  <si>
    <t>Dachau</t>
  </si>
  <si>
    <t>Ebersberg</t>
  </si>
  <si>
    <t>EichstÔÇ×tt</t>
  </si>
  <si>
    <t>Eichstätt</t>
  </si>
  <si>
    <t>Erding</t>
  </si>
  <si>
    <t>Freising</t>
  </si>
  <si>
    <t>F┬ürstenfeldbruck</t>
  </si>
  <si>
    <t>Fürstenfeldbruck</t>
  </si>
  <si>
    <t>Garmisch-Partenkirchen</t>
  </si>
  <si>
    <t>Landsberg am Lech</t>
  </si>
  <si>
    <t>Miesbach</t>
  </si>
  <si>
    <t>M┬ühldorf a.Inn</t>
  </si>
  <si>
    <t>Mühldorf a.Inn</t>
  </si>
  <si>
    <t>Neuburg-Schrobenhausen</t>
  </si>
  <si>
    <t>Pfaffenhofen a.d.Ilm</t>
  </si>
  <si>
    <t>Starnberg</t>
  </si>
  <si>
    <t>Traunstein</t>
  </si>
  <si>
    <t>Weilheim-Schongau</t>
  </si>
  <si>
    <t>Landshut</t>
  </si>
  <si>
    <t>Passau</t>
  </si>
  <si>
    <t>Straubing</t>
  </si>
  <si>
    <t>Deggendorf</t>
  </si>
  <si>
    <t>Freyung-Grafenau</t>
  </si>
  <si>
    <t>Kelheim</t>
  </si>
  <si>
    <t>Regen</t>
  </si>
  <si>
    <t>Rottal-Inn</t>
  </si>
  <si>
    <t>Straubing-Bogen</t>
  </si>
  <si>
    <t>Dingolfing-Landau</t>
  </si>
  <si>
    <t>Amberg</t>
  </si>
  <si>
    <t>Regensburg</t>
  </si>
  <si>
    <t>Weiden i.d.OPf.</t>
  </si>
  <si>
    <t>Amberg-Sulzbach</t>
  </si>
  <si>
    <t>Cham</t>
  </si>
  <si>
    <t>Neumarkt i.d.OPf.</t>
  </si>
  <si>
    <t>Neustadt a.d.Waldnaab</t>
  </si>
  <si>
    <t>Schwandorf</t>
  </si>
  <si>
    <t>Tirschenreuth</t>
  </si>
  <si>
    <t>Bamberg</t>
  </si>
  <si>
    <t>Bayreuth</t>
  </si>
  <si>
    <t>Coburg</t>
  </si>
  <si>
    <t>Hof</t>
  </si>
  <si>
    <t>Forchheim</t>
  </si>
  <si>
    <t>Kronach</t>
  </si>
  <si>
    <t>Kulmbach</t>
  </si>
  <si>
    <t>Lichtenfels</t>
  </si>
  <si>
    <t>Wunsiedel i.Fichtelgebirge</t>
  </si>
  <si>
    <t>Ansbach</t>
  </si>
  <si>
    <t>Erlangen</t>
  </si>
  <si>
    <t>F┬ürth</t>
  </si>
  <si>
    <t>Fürth</t>
  </si>
  <si>
    <t>N┬ürnberg</t>
  </si>
  <si>
    <t>Nürnberg</t>
  </si>
  <si>
    <t>Schwabach</t>
  </si>
  <si>
    <t>Erlangen-HÔÇØchstadt</t>
  </si>
  <si>
    <t>Erlangen-Höchstadt</t>
  </si>
  <si>
    <t>N┬ürnberger Land</t>
  </si>
  <si>
    <t>Nürnberger Land</t>
  </si>
  <si>
    <t>Neustadt a.d.Aisch-Bad Windsheim</t>
  </si>
  <si>
    <t>Roth</t>
  </si>
  <si>
    <t>Wei├íenburg-Gunzenhausen</t>
  </si>
  <si>
    <t>Weißenburg-Gunzenhausen</t>
  </si>
  <si>
    <t>Aschaffenburg</t>
  </si>
  <si>
    <t>Schweinfurt</t>
  </si>
  <si>
    <t>W┬ürzburg</t>
  </si>
  <si>
    <t>Würzburg</t>
  </si>
  <si>
    <t>Bad Kissingen</t>
  </si>
  <si>
    <t>RhÔÇØn-Grabfeld</t>
  </si>
  <si>
    <t>Rhön-Grabfeld</t>
  </si>
  <si>
    <t>Ha├íberge</t>
  </si>
  <si>
    <t>Haßberge</t>
  </si>
  <si>
    <t>Kitzingen</t>
  </si>
  <si>
    <t>Miltenberg</t>
  </si>
  <si>
    <t>Main-Spessart</t>
  </si>
  <si>
    <t>Augsburg</t>
  </si>
  <si>
    <t>Kaufbeuren</t>
  </si>
  <si>
    <t>Kempten (AllgÔÇ×u)</t>
  </si>
  <si>
    <t>Kempten (Allgäu)</t>
  </si>
  <si>
    <t>Memmingen</t>
  </si>
  <si>
    <t>Aichach-Friedberg</t>
  </si>
  <si>
    <t>Dillingen a.d.Donau</t>
  </si>
  <si>
    <t>G┬ünzburg</t>
  </si>
  <si>
    <t>Günzburg</t>
  </si>
  <si>
    <t>Neu-Ulm</t>
  </si>
  <si>
    <t>Lindau (Bodensee)</t>
  </si>
  <si>
    <t>OstallgÔÇ×u</t>
  </si>
  <si>
    <t>Ostallgäu</t>
  </si>
  <si>
    <t>UnterallgÔÇ×u</t>
  </si>
  <si>
    <t>Unterallgäu</t>
  </si>
  <si>
    <t>Donau-Ries</t>
  </si>
  <si>
    <t>OberallgÔÇ×u</t>
  </si>
  <si>
    <t>Oberallgäu</t>
  </si>
  <si>
    <t>Landkreis aus Betriebsnummer</t>
  </si>
  <si>
    <t>NH4-N Anteil</t>
  </si>
  <si>
    <t xml:space="preserve">Jauche </t>
  </si>
  <si>
    <t>NH4-Gehalt</t>
  </si>
  <si>
    <t>NH4 in kg N</t>
  </si>
  <si>
    <t>Gülle/Jauche</t>
  </si>
  <si>
    <t>Sommer</t>
  </si>
  <si>
    <t>Winter</t>
  </si>
  <si>
    <t xml:space="preserve">Gülle </t>
  </si>
  <si>
    <t>Anfall Betrieb t/Jahr</t>
  </si>
  <si>
    <t>Mist für Stroh Geflügel</t>
  </si>
  <si>
    <t>Notwendiger Lagerraum nach DüV in Monate</t>
  </si>
  <si>
    <t>Lämmer, Schafe bis 1 Jahr</t>
  </si>
  <si>
    <t>Mutterschafe (ohne Lamm), andere Schafe</t>
  </si>
  <si>
    <t xml:space="preserve"> in Tonnen im Betrieb</t>
  </si>
  <si>
    <t>Nährstoffe</t>
  </si>
  <si>
    <t>Betrieb</t>
  </si>
  <si>
    <t>1: Zugang in Biogasanlage</t>
  </si>
  <si>
    <t>4: Biogasgärrestanfall im Jahr</t>
  </si>
  <si>
    <t>TS (%)</t>
  </si>
  <si>
    <t>Menge:</t>
  </si>
  <si>
    <t>TS:</t>
  </si>
  <si>
    <t>N:</t>
  </si>
  <si>
    <t>Zusammenfassung</t>
  </si>
  <si>
    <t>Summe Anfall eigene Tierhaltung</t>
  </si>
  <si>
    <t>org. TM</t>
  </si>
  <si>
    <t>Gas</t>
  </si>
  <si>
    <t>Methan</t>
  </si>
  <si>
    <r>
      <t>P</t>
    </r>
    <r>
      <rPr>
        <vertAlign val="subscript"/>
        <sz val="11"/>
        <color indexed="8"/>
        <rFont val="Calibri"/>
        <family val="2"/>
      </rPr>
      <t>2</t>
    </r>
    <r>
      <rPr>
        <sz val="10"/>
        <rFont val="Arial"/>
      </rPr>
      <t>O</t>
    </r>
    <r>
      <rPr>
        <vertAlign val="subscript"/>
        <sz val="11"/>
        <color indexed="8"/>
        <rFont val="Calibri"/>
        <family val="2"/>
      </rPr>
      <t>5</t>
    </r>
  </si>
  <si>
    <r>
      <t>K</t>
    </r>
    <r>
      <rPr>
        <vertAlign val="subscript"/>
        <sz val="11"/>
        <color indexed="8"/>
        <rFont val="Calibri"/>
        <family val="2"/>
      </rPr>
      <t>2</t>
    </r>
    <r>
      <rPr>
        <sz val="10"/>
        <rFont val="Arial"/>
      </rPr>
      <t>O</t>
    </r>
  </si>
  <si>
    <t>Gas in</t>
  </si>
  <si>
    <t>t, m³</t>
  </si>
  <si>
    <t>falls</t>
  </si>
  <si>
    <t>in TS</t>
  </si>
  <si>
    <t>Liter/kg</t>
  </si>
  <si>
    <t>Gehalt</t>
  </si>
  <si>
    <t>1000 m³</t>
  </si>
  <si>
    <t>in Tonnen</t>
  </si>
  <si>
    <t>FM</t>
  </si>
  <si>
    <t>bekannt</t>
  </si>
  <si>
    <t>5: Lagerraum siehe unten</t>
  </si>
  <si>
    <t xml:space="preserve">Mindestanforderung Lagerraum nach DüV wird eingehalten: </t>
  </si>
  <si>
    <t xml:space="preserve">        a) davon Wirtschaftsdünger aus eigener Tierhaltung</t>
  </si>
  <si>
    <t xml:space="preserve">        b) davon pflanzl. Einsatzstoffe vom eigenem Betrieb</t>
  </si>
  <si>
    <t xml:space="preserve">        c) davon Zukauf Einsatzstoffe (Mais, Gras, Gülle, …)</t>
  </si>
  <si>
    <t>Einsatzstoffe mit eigenen Daten</t>
  </si>
  <si>
    <r>
      <t xml:space="preserve">    Verbleibende Mengen </t>
    </r>
    <r>
      <rPr>
        <sz val="8"/>
        <rFont val="Arial"/>
        <family val="2"/>
      </rPr>
      <t>(Über-, Unterhang)</t>
    </r>
  </si>
  <si>
    <t>Verbleibende Nährstoffmenge in kg/Betrieb</t>
  </si>
  <si>
    <t>Anfall im Jahr</t>
  </si>
  <si>
    <t xml:space="preserve">in </t>
  </si>
  <si>
    <t>Bio-</t>
  </si>
  <si>
    <t>gas</t>
  </si>
  <si>
    <t>anlage</t>
  </si>
  <si>
    <t>tier-</t>
  </si>
  <si>
    <t>ische</t>
  </si>
  <si>
    <t>Herkunft</t>
  </si>
  <si>
    <r>
      <t>mm/Jahr</t>
    </r>
    <r>
      <rPr>
        <sz val="8"/>
        <rFont val="Arial"/>
        <family val="2"/>
      </rPr>
      <t xml:space="preserve">  (langjährig)                    </t>
    </r>
  </si>
  <si>
    <t>Tonnen</t>
  </si>
  <si>
    <t>Zukauf</t>
  </si>
  <si>
    <t>kultur_edvname</t>
  </si>
  <si>
    <t>edv_code</t>
  </si>
  <si>
    <t>erzeugt_auf</t>
  </si>
  <si>
    <t>status_fruchtfolge</t>
  </si>
  <si>
    <t>fruchtartengruppe</t>
  </si>
  <si>
    <t>ernteprodukt_art</t>
  </si>
  <si>
    <t>futtermittel_art</t>
  </si>
  <si>
    <t>futmit_sortierung</t>
  </si>
  <si>
    <t>kultur_sortierung</t>
  </si>
  <si>
    <t>pflanzenteil</t>
  </si>
  <si>
    <t>tm%</t>
  </si>
  <si>
    <t>gehalt_hauptprodukt_fm_n</t>
  </si>
  <si>
    <t>gehalt_hauptprodukt_fm_p2o5</t>
  </si>
  <si>
    <t>gehalt_hauptprodukt_fm_p</t>
  </si>
  <si>
    <t>gehalt_hauptprodukt_fm_k2o</t>
  </si>
  <si>
    <t>gehalt_hauptprodukt_fm_k</t>
  </si>
  <si>
    <t>gehalt_nebenprodukt_fm_n</t>
  </si>
  <si>
    <t>gehalt_nebenprodukt_fm_p2o5</t>
  </si>
  <si>
    <t>gehalt_nebenprodukt_fm_p</t>
  </si>
  <si>
    <t>gehalt_nebenprodukt_fm_k2o</t>
  </si>
  <si>
    <t>gehalt_nebenprodukt_fm_k</t>
  </si>
  <si>
    <t>gehalt_gesamtprodukt_fm_n</t>
  </si>
  <si>
    <t>gehalt_gesamtprodukt_fm_p2o5</t>
  </si>
  <si>
    <t>gehalt_gesamtprodukt_fm_p</t>
  </si>
  <si>
    <t>gehalt_gesamtprodukt_fm_k2o</t>
  </si>
  <si>
    <t>gehalt_gesamtprodukt_fm_k</t>
  </si>
  <si>
    <t>rp_tm</t>
  </si>
  <si>
    <t>ertrag_fm_durchschnitt</t>
  </si>
  <si>
    <t>nfix_je_dt</t>
  </si>
  <si>
    <t>hauptnebenproduktverhaeltnis</t>
  </si>
  <si>
    <t>eintrocknungsverhaeltnis</t>
  </si>
  <si>
    <t>grobfutter</t>
  </si>
  <si>
    <t>bgr_futmitdefld</t>
  </si>
  <si>
    <t>bgr_futmitdef</t>
  </si>
  <si>
    <t>bgr_rohasche_tm</t>
  </si>
  <si>
    <t>#</t>
  </si>
  <si>
    <t>bgr_rohfett_tm</t>
  </si>
  <si>
    <t>bgr_rohfaser_tm</t>
  </si>
  <si>
    <t>bgr_staerke_tm</t>
  </si>
  <si>
    <t>bgr_zucker_tm</t>
  </si>
  <si>
    <t>bgr_nfe_TM</t>
  </si>
  <si>
    <t>bgr_vq_rp</t>
  </si>
  <si>
    <t>bgr_vq_rohfaser</t>
  </si>
  <si>
    <t>bgr_vq_rohfett</t>
  </si>
  <si>
    <t>bgr_vq_nfe</t>
  </si>
  <si>
    <t>bgr_nfe_rohfaser</t>
  </si>
  <si>
    <t>bgr_ots</t>
  </si>
  <si>
    <t>bgr_rp_verd</t>
  </si>
  <si>
    <t>bgr_rohfett_verd</t>
  </si>
  <si>
    <t>bgr_kohlenhydrate_verd</t>
  </si>
  <si>
    <t>bgr_gas_ots</t>
  </si>
  <si>
    <t>bgr_gas_m3</t>
  </si>
  <si>
    <t>bgr_methangehalt</t>
  </si>
  <si>
    <t>#bgr_gas_ots_literatur</t>
  </si>
  <si>
    <t>#bgr_gas_m3_literatur</t>
  </si>
  <si>
    <t>bgr_xp_ots</t>
  </si>
  <si>
    <t>bgr_nfc_ots</t>
  </si>
  <si>
    <t>bgr_ndf_ts</t>
  </si>
  <si>
    <t>bgr_h1</t>
  </si>
  <si>
    <t>bgr_h2</t>
  </si>
  <si>
    <t>#biogas_lagerraum</t>
  </si>
  <si>
    <t>Kultur</t>
  </si>
  <si>
    <t>erzeugt</t>
  </si>
  <si>
    <t xml:space="preserve">Status in </t>
  </si>
  <si>
    <t>Frucharten-</t>
  </si>
  <si>
    <t>Ernteprodukt</t>
  </si>
  <si>
    <t>Futtermittel</t>
  </si>
  <si>
    <t>Sortierung</t>
  </si>
  <si>
    <t>Programm</t>
  </si>
  <si>
    <t>Nährstoffgehalt Haupternteprodukt</t>
  </si>
  <si>
    <t>Nährstoffgehalt kg/dt FM</t>
  </si>
  <si>
    <t>Roh-</t>
  </si>
  <si>
    <t>Ø</t>
  </si>
  <si>
    <t>N-Fix</t>
  </si>
  <si>
    <r>
      <t xml:space="preserve">HNV </t>
    </r>
    <r>
      <rPr>
        <b/>
        <vertAlign val="superscript"/>
        <sz val="10"/>
        <rFont val="Arial"/>
        <family val="2"/>
      </rPr>
      <t>1)</t>
    </r>
  </si>
  <si>
    <r>
      <t>EV</t>
    </r>
    <r>
      <rPr>
        <b/>
        <vertAlign val="superscript"/>
        <sz val="10"/>
        <color indexed="8"/>
        <rFont val="Arial"/>
        <family val="2"/>
      </rPr>
      <t xml:space="preserve"> 2)</t>
    </r>
  </si>
  <si>
    <t>Grob-</t>
  </si>
  <si>
    <t>VQ Rind in %</t>
  </si>
  <si>
    <t>verd. Kohlenhydrate  (NfE + Rohfaser)  
g</t>
  </si>
  <si>
    <t xml:space="preserve">verd. </t>
  </si>
  <si>
    <t>Summe</t>
  </si>
  <si>
    <t>Gasausbeute</t>
  </si>
  <si>
    <t>Methan-</t>
  </si>
  <si>
    <t xml:space="preserve">Gasausbeute laut Literatur  in </t>
  </si>
  <si>
    <t>auf</t>
  </si>
  <si>
    <t>der Fruchtfolge</t>
  </si>
  <si>
    <t>gruppe</t>
  </si>
  <si>
    <t>FutMit</t>
  </si>
  <si>
    <t>Ernteprodukt/Pflanzenteil</t>
  </si>
  <si>
    <t>kg/dt Frischmasse</t>
  </si>
  <si>
    <t>Nebenernte-produkt</t>
  </si>
  <si>
    <t>Haupt-+ Nebenernte-produkt</t>
  </si>
  <si>
    <t>protein</t>
  </si>
  <si>
    <t>Ertrag</t>
  </si>
  <si>
    <t>kg/dt</t>
  </si>
  <si>
    <t>1:x</t>
  </si>
  <si>
    <t>Faktor</t>
  </si>
  <si>
    <t>futter</t>
  </si>
  <si>
    <t>FutMitDefId</t>
  </si>
  <si>
    <t>FutMitDef</t>
  </si>
  <si>
    <t>0110-TMproFM</t>
  </si>
  <si>
    <t>asche</t>
  </si>
  <si>
    <t>fett</t>
  </si>
  <si>
    <t>faser</t>
  </si>
  <si>
    <t>Stärke</t>
  </si>
  <si>
    <t>Zucker</t>
  </si>
  <si>
    <t>NfE</t>
  </si>
  <si>
    <t>RP</t>
  </si>
  <si>
    <t>Rohfett</t>
  </si>
  <si>
    <t xml:space="preserve">oTS </t>
  </si>
  <si>
    <t>Kohlen-</t>
  </si>
  <si>
    <t>l/kg</t>
  </si>
  <si>
    <t>gehalt</t>
  </si>
  <si>
    <t>XP</t>
  </si>
  <si>
    <t>NFC</t>
  </si>
  <si>
    <t>NDF</t>
  </si>
  <si>
    <t>h-1</t>
  </si>
  <si>
    <t>d-1</t>
  </si>
  <si>
    <t>Lagerraum Biogas</t>
  </si>
  <si>
    <t>P</t>
  </si>
  <si>
    <t>K</t>
  </si>
  <si>
    <t>% in TM</t>
  </si>
  <si>
    <t>dt/ha FM</t>
  </si>
  <si>
    <t>FM/Droge</t>
  </si>
  <si>
    <t>g/kg TM</t>
  </si>
  <si>
    <t>hydrate</t>
  </si>
  <si>
    <t>oTS</t>
  </si>
  <si>
    <t>m³/t FM</t>
  </si>
  <si>
    <t>l/kg oTS</t>
  </si>
  <si>
    <t>m³/1000 kg FM</t>
  </si>
  <si>
    <t xml:space="preserve"> kg/kgoTS</t>
  </si>
  <si>
    <t>kg/kgoTS</t>
  </si>
  <si>
    <t>g/kgTS</t>
  </si>
  <si>
    <t>Quelle: FutMit Grub</t>
  </si>
  <si>
    <t>Quelle: Lichti</t>
  </si>
  <si>
    <t>Winterweizen C-Sorte</t>
  </si>
  <si>
    <t>WW-C</t>
  </si>
  <si>
    <t>Acker</t>
  </si>
  <si>
    <t>Hfru</t>
  </si>
  <si>
    <t>Korn</t>
  </si>
  <si>
    <t>Weizen</t>
  </si>
  <si>
    <t>Winterweizen A/B-Sorte</t>
  </si>
  <si>
    <t>WW-AB</t>
  </si>
  <si>
    <t>Sommerweizen</t>
  </si>
  <si>
    <t>SW</t>
  </si>
  <si>
    <t/>
  </si>
  <si>
    <t xml:space="preserve">Wintergerste </t>
  </si>
  <si>
    <t>WG</t>
  </si>
  <si>
    <t>Gerste, 2-zeilig</t>
  </si>
  <si>
    <t>Sommerfuttergerste</t>
  </si>
  <si>
    <t>SG-F</t>
  </si>
  <si>
    <t>Gerste, 4-zeilig</t>
  </si>
  <si>
    <t>Winterroggen</t>
  </si>
  <si>
    <t>WRO</t>
  </si>
  <si>
    <t>Roggen</t>
  </si>
  <si>
    <t>Hafer</t>
  </si>
  <si>
    <t>HA</t>
  </si>
  <si>
    <t>Triticale</t>
  </si>
  <si>
    <t>TR</t>
  </si>
  <si>
    <t>Dinkel</t>
  </si>
  <si>
    <t>DI</t>
  </si>
  <si>
    <t>Körnermaisstroh</t>
  </si>
  <si>
    <t>STRO-M1</t>
  </si>
  <si>
    <t xml:space="preserve">Körnermais </t>
  </si>
  <si>
    <t>KM</t>
  </si>
  <si>
    <t>Körnermais</t>
  </si>
  <si>
    <t>LfL Batch</t>
  </si>
  <si>
    <t>Ganzpflanze</t>
  </si>
  <si>
    <t xml:space="preserve"> +++Hackfrüchte+++</t>
  </si>
  <si>
    <t>KA</t>
  </si>
  <si>
    <t>Knolle</t>
  </si>
  <si>
    <t>Kartoffel (roh)</t>
  </si>
  <si>
    <t>Zuckerrüben</t>
  </si>
  <si>
    <t>ZR</t>
  </si>
  <si>
    <t>Rübe</t>
  </si>
  <si>
    <t>Zuckerrübe</t>
  </si>
  <si>
    <t>Futter-, Runkelrüben</t>
  </si>
  <si>
    <t>FR-G</t>
  </si>
  <si>
    <t>Futterrübe</t>
  </si>
  <si>
    <t xml:space="preserve"> +++Mehrschnittiger Feldfutterbau +++</t>
  </si>
  <si>
    <t xml:space="preserve">Ackergras 3-4 Schnitte/Jahr </t>
  </si>
  <si>
    <t>WEG3</t>
  </si>
  <si>
    <t>Weidelgras- Silage</t>
  </si>
  <si>
    <t>Ackergras 5 Schnitte/Jahr</t>
  </si>
  <si>
    <t>WEG5</t>
  </si>
  <si>
    <t>Kleegras (Kleeanteil 30 %)</t>
  </si>
  <si>
    <t>KLG30</t>
  </si>
  <si>
    <t>KleeGrasSilage, 2.und FolgeSchnitte, vor der Knosp</t>
  </si>
  <si>
    <t>Kleegras (Kleeanteil 50 %)</t>
  </si>
  <si>
    <t>KLG50</t>
  </si>
  <si>
    <t>Kleegras (Kleeanteil 70 %)</t>
  </si>
  <si>
    <t>KLG70</t>
  </si>
  <si>
    <t>Luzernegras (Luz.anteil 30 %)</t>
  </si>
  <si>
    <t>LUZG30</t>
  </si>
  <si>
    <t>LuzerneGras- Silage, ab 2. Schnitt</t>
  </si>
  <si>
    <t>Luzernegras (Luz.anteil 50 %)</t>
  </si>
  <si>
    <t>LUZG50</t>
  </si>
  <si>
    <t>Luzernegras (Luz.anteil 70 %)</t>
  </si>
  <si>
    <t>LUZG70</t>
  </si>
  <si>
    <t>Klee (Reinkultur)</t>
  </si>
  <si>
    <t>RKL</t>
  </si>
  <si>
    <t>RotkleeSilage, ab 2.Schnitt</t>
  </si>
  <si>
    <t>Luzerne (Reinkultur)</t>
  </si>
  <si>
    <t>LUZ</t>
  </si>
  <si>
    <t>LuzerneSilage, ab 2. Schnitt</t>
  </si>
  <si>
    <t xml:space="preserve"> +++Futterpflanzen+++</t>
  </si>
  <si>
    <t>MaisSilage</t>
  </si>
  <si>
    <t>Corn-Cop-Mix (CCM)</t>
  </si>
  <si>
    <t>CCM</t>
  </si>
  <si>
    <t>Kolben</t>
  </si>
  <si>
    <t>CCM- KornSpindelGemisch, 5,3% Rohfaser</t>
  </si>
  <si>
    <t>GPS Weizen</t>
  </si>
  <si>
    <t>GPS-W</t>
  </si>
  <si>
    <t xml:space="preserve">Ganzpflanze </t>
  </si>
  <si>
    <t>GPS Gerste</t>
  </si>
  <si>
    <t>GPS-G</t>
  </si>
  <si>
    <t>GPS Tritikale</t>
  </si>
  <si>
    <t>GPS-T</t>
  </si>
  <si>
    <t>GPS Roggen u. Tritcale</t>
  </si>
  <si>
    <t>GPS Roggen</t>
  </si>
  <si>
    <t>GPS-RO</t>
  </si>
  <si>
    <t>GPS Hafer</t>
  </si>
  <si>
    <t>GPS-HA</t>
  </si>
  <si>
    <t>RübsenSilage</t>
  </si>
  <si>
    <t>RapsSilage</t>
  </si>
  <si>
    <t xml:space="preserve"> +++Energiepflanzen+++</t>
  </si>
  <si>
    <t>SI-1</t>
  </si>
  <si>
    <t>durchw. Silphie</t>
  </si>
  <si>
    <t>Sorgumhirse</t>
  </si>
  <si>
    <t>SUG</t>
  </si>
  <si>
    <t>SudanGras- Silage</t>
  </si>
  <si>
    <t xml:space="preserve"> +++Zweitfrucht (2. Hauptfrucht)+++</t>
  </si>
  <si>
    <t xml:space="preserve">Weidelgras </t>
  </si>
  <si>
    <t>2F-WEG</t>
  </si>
  <si>
    <t>Nfru</t>
  </si>
  <si>
    <t>Kleegras mit 50 % Leguminosen</t>
  </si>
  <si>
    <t>2F-KLG50</t>
  </si>
  <si>
    <t>Alexandrinerklee</t>
  </si>
  <si>
    <t>2F-AKL</t>
  </si>
  <si>
    <t>GPS Sommerraps</t>
  </si>
  <si>
    <t>2F-RAS</t>
  </si>
  <si>
    <t>GPS Winterraps</t>
  </si>
  <si>
    <t>2F-RAW</t>
  </si>
  <si>
    <t>GPS Winterrübsen</t>
  </si>
  <si>
    <t>2F-RUW</t>
  </si>
  <si>
    <t>GPS Senf weiß/gelb</t>
  </si>
  <si>
    <t>2F-SF</t>
  </si>
  <si>
    <t>Senf, grün</t>
  </si>
  <si>
    <t>Landsberger Gemenge- Silage</t>
  </si>
  <si>
    <t>GPS Gemenge mit 50 % Leguminosen</t>
  </si>
  <si>
    <t>2F-GEM50</t>
  </si>
  <si>
    <t>GPS Winterroggen/Grünroggen</t>
  </si>
  <si>
    <t>2F-RO</t>
  </si>
  <si>
    <t>GrünRoggen- Silage</t>
  </si>
  <si>
    <t>Silomais</t>
  </si>
  <si>
    <t>2F-SM</t>
  </si>
  <si>
    <t>GPS Sorghumhirse</t>
  </si>
  <si>
    <t>2F-HI</t>
  </si>
  <si>
    <t>Zuckerhirse</t>
  </si>
  <si>
    <t xml:space="preserve"> +++Zwischenfrucht+++</t>
  </si>
  <si>
    <t>Zwischenfrucht mit 0 - 25 % Leg.</t>
  </si>
  <si>
    <t>Z-L25</t>
  </si>
  <si>
    <t>Zwischenfrucht mit 25 - 75 % Leg.</t>
  </si>
  <si>
    <t>Z-L50</t>
  </si>
  <si>
    <t>Zwischenfrucht mit &gt; 75 % Leg.</t>
  </si>
  <si>
    <t>Z-L75</t>
  </si>
  <si>
    <t xml:space="preserve"> +++Grünland+++</t>
  </si>
  <si>
    <t>GRL</t>
  </si>
  <si>
    <t>Grünland</t>
  </si>
  <si>
    <t>dt/ha TM</t>
  </si>
  <si>
    <t>2 Schnittnutzungen</t>
  </si>
  <si>
    <t>GRL-2S</t>
  </si>
  <si>
    <t>GrasSil, angew., 2.und FolgeSchnitte, RispenSpreiz</t>
  </si>
  <si>
    <t>3 Schnittnutzungen</t>
  </si>
  <si>
    <t>GRL-3S</t>
  </si>
  <si>
    <t>GrasSilage, angewelkt, 3.Schnitt</t>
  </si>
  <si>
    <t>4 Schnittnutzungen</t>
  </si>
  <si>
    <t>GRL-4S</t>
  </si>
  <si>
    <t>GrasSilage</t>
  </si>
  <si>
    <t>5 Schnittnutzungen</t>
  </si>
  <si>
    <t>GRL-5S</t>
  </si>
  <si>
    <t>6 Schnittnutzungen</t>
  </si>
  <si>
    <t>GRL-6S</t>
  </si>
  <si>
    <t>Biogas</t>
  </si>
  <si>
    <t>Gasaus-</t>
  </si>
  <si>
    <t>beute</t>
  </si>
  <si>
    <t xml:space="preserve"> +++Getreide/Körnermais+++</t>
  </si>
  <si>
    <t>Kartoffel</t>
  </si>
  <si>
    <t>O TS</t>
  </si>
  <si>
    <t>L/kg TS</t>
  </si>
  <si>
    <t>Eigener Anbau</t>
  </si>
  <si>
    <t>Menge*</t>
  </si>
  <si>
    <t>Biogasgärrest</t>
  </si>
  <si>
    <t>Menge (flüssig)</t>
  </si>
  <si>
    <t>Anfall  Biogasgärrest im Jahr in t</t>
  </si>
  <si>
    <t>Anfall  Biogasgärrest im Jahr in m³</t>
  </si>
  <si>
    <t>Relativ in %</t>
  </si>
  <si>
    <t>t im Betrieb</t>
  </si>
  <si>
    <t>Lager 1</t>
  </si>
  <si>
    <r>
      <t>Lager 2</t>
    </r>
    <r>
      <rPr>
        <sz val="10"/>
        <rFont val="Arial"/>
      </rPr>
      <t/>
    </r>
  </si>
  <si>
    <r>
      <t>Lager 3</t>
    </r>
    <r>
      <rPr>
        <sz val="10"/>
        <rFont val="Arial"/>
      </rPr>
      <t/>
    </r>
  </si>
  <si>
    <r>
      <t>Behälter 4</t>
    </r>
    <r>
      <rPr>
        <sz val="10"/>
        <rFont val="Arial"/>
      </rPr>
      <t/>
    </r>
  </si>
  <si>
    <r>
      <t>Behälter 5</t>
    </r>
    <r>
      <rPr>
        <sz val="10"/>
        <rFont val="Arial"/>
      </rPr>
      <t/>
    </r>
  </si>
  <si>
    <t>Behälter 6</t>
  </si>
  <si>
    <t>oder Monat</t>
  </si>
  <si>
    <t xml:space="preserve">Datum </t>
  </si>
  <si>
    <t>Name/Adresse</t>
  </si>
  <si>
    <t>Abgang</t>
  </si>
  <si>
    <t>Berechneter Gasertrag aus Einsatzstoffe Biogas ohne Korrektur</t>
  </si>
  <si>
    <t>Berechneter Gasertrag aus Einsatzstoffe Biogas mit Korrektur</t>
  </si>
  <si>
    <t>Verkauftes Gas (bzw. aus Stromverkauf/-verbrauch berechnet)</t>
  </si>
  <si>
    <t>in 1000 kWh</t>
  </si>
  <si>
    <t xml:space="preserve">Verkauf Strom im Jahr </t>
  </si>
  <si>
    <t xml:space="preserve">plus Eigenstromverbrauch im Jahr </t>
  </si>
  <si>
    <t xml:space="preserve">Gasertrag gegenüber "normal"  </t>
  </si>
  <si>
    <t xml:space="preserve">Vorschlag: </t>
  </si>
  <si>
    <t>Gausausb.</t>
  </si>
  <si>
    <t>Methangeh.</t>
  </si>
  <si>
    <t>Festmist ohne Stroh</t>
  </si>
  <si>
    <t>Nährstoffanfall Weide (netto)</t>
  </si>
  <si>
    <t>Nährstoffanfall Stall ohne Biogas  (netto)</t>
  </si>
  <si>
    <t>Nährstoffanfall über Biogas  (netto)</t>
  </si>
  <si>
    <t>Tiere</t>
  </si>
  <si>
    <t xml:space="preserve">TS </t>
  </si>
  <si>
    <t xml:space="preserve"> Gülle/Jauche</t>
  </si>
  <si>
    <t>Gülle/Jauche + Mist</t>
  </si>
  <si>
    <t>CO2</t>
  </si>
  <si>
    <t>oTM</t>
  </si>
  <si>
    <t>org. FM</t>
  </si>
  <si>
    <t xml:space="preserve"> + CO2</t>
  </si>
  <si>
    <t>aus TS</t>
  </si>
  <si>
    <t>aus H2O</t>
  </si>
  <si>
    <t>Basis für</t>
  </si>
  <si>
    <t>Hydratberechnung</t>
  </si>
  <si>
    <t>Gas/887</t>
  </si>
  <si>
    <t>Volumen</t>
  </si>
  <si>
    <t>Gärrest</t>
  </si>
  <si>
    <t>Eigene Tier</t>
  </si>
  <si>
    <t>Korrektur Gas</t>
  </si>
  <si>
    <t>Verweilzeit</t>
  </si>
  <si>
    <t>Fermenter</t>
  </si>
  <si>
    <t>mind.</t>
  </si>
  <si>
    <t>Biogas Verweilzeit mind.</t>
  </si>
  <si>
    <t>Tage</t>
  </si>
  <si>
    <t>zeit</t>
  </si>
  <si>
    <t>m²</t>
  </si>
  <si>
    <t>Anz.</t>
  </si>
  <si>
    <t>cbm</t>
  </si>
  <si>
    <t>tierisch</t>
  </si>
  <si>
    <t>1=ja</t>
  </si>
  <si>
    <t>2=nein</t>
  </si>
  <si>
    <t>Endlager</t>
  </si>
  <si>
    <t>Fermenter/</t>
  </si>
  <si>
    <t>in Biogas</t>
  </si>
  <si>
    <t xml:space="preserve">t </t>
  </si>
  <si>
    <t>Summe aller Tiere</t>
  </si>
  <si>
    <t xml:space="preserve">   davon Gülle/Mist in Biogasanlage</t>
  </si>
  <si>
    <t xml:space="preserve">   davon Gülle/Mist nicht in Biogasanlage</t>
  </si>
  <si>
    <t xml:space="preserve">   davon Weide</t>
  </si>
  <si>
    <t>Tonnen im Betrieb</t>
  </si>
  <si>
    <t>Zukauf+Eigenanbau</t>
  </si>
  <si>
    <t>Abgabe anderer Betrieb</t>
  </si>
  <si>
    <t>Verwertung eigener Betrieb</t>
  </si>
  <si>
    <t>6: Abgabe an andere Betriebe</t>
  </si>
  <si>
    <t>Gesamtmenge mit/ohne Biogas</t>
  </si>
  <si>
    <t>einge Flächen zur Düngung</t>
  </si>
  <si>
    <t>kg N/ha</t>
  </si>
  <si>
    <t xml:space="preserve">     Wirtschaftsdünger eigene Tierhaltung (nicht in Biogasanlage)</t>
  </si>
  <si>
    <t>Nährstoffmenge tierisch ohne Tolleranz</t>
  </si>
  <si>
    <t xml:space="preserve">N </t>
  </si>
  <si>
    <t xml:space="preserve">P2O5 </t>
  </si>
  <si>
    <t>Grenze absolut</t>
  </si>
  <si>
    <t>ges</t>
  </si>
  <si>
    <t>nicht Biogas</t>
  </si>
  <si>
    <t>Lagerrraum Mist</t>
  </si>
  <si>
    <t>Monate</t>
  </si>
  <si>
    <t>ohne Biogas</t>
  </si>
  <si>
    <t>LF gesamt</t>
  </si>
  <si>
    <t>LF Grünland</t>
  </si>
  <si>
    <t>normal</t>
  </si>
  <si>
    <t>grün</t>
  </si>
  <si>
    <t>Max. Verwertung 6 Mo</t>
  </si>
  <si>
    <t>Monate ohne Biogas</t>
  </si>
  <si>
    <t>Lagerung 9 Mo</t>
  </si>
  <si>
    <t>Anfall Rinder Gülle N</t>
  </si>
  <si>
    <t>Zusätzliche Flächen</t>
  </si>
  <si>
    <t>Monate ohne Biogas (korr)</t>
  </si>
  <si>
    <t>ha "nur" Verbot der org. Düngung</t>
  </si>
  <si>
    <t>ha Stilllegung</t>
  </si>
  <si>
    <t>Gülle und Jauche (netto)</t>
  </si>
  <si>
    <t>S-Mist</t>
  </si>
  <si>
    <t>je Monat</t>
  </si>
  <si>
    <t>Gülle/Jauche ohne Biogas</t>
  </si>
  <si>
    <t>Jahr</t>
  </si>
  <si>
    <t>Rechengang flüssig: ohne Biogas</t>
  </si>
  <si>
    <t>Rechengang flüssig mit Biogas</t>
  </si>
  <si>
    <t>davon Gülle/Jauche</t>
  </si>
  <si>
    <t>Gesamt 6 Monte</t>
  </si>
  <si>
    <t>Gesamt 9 Monate</t>
  </si>
  <si>
    <t xml:space="preserve">Für </t>
  </si>
  <si>
    <t>Tiere in 6 Monate</t>
  </si>
  <si>
    <t>Summe in 6 Monate</t>
  </si>
  <si>
    <t>rot/grün</t>
  </si>
  <si>
    <t>N/m³</t>
  </si>
  <si>
    <t xml:space="preserve">   davon Mist nicht in Biogasanlage</t>
  </si>
  <si>
    <t>kg N</t>
  </si>
  <si>
    <t>eigene Tierhaltung</t>
  </si>
  <si>
    <t>Eigene pflanzliche (Mais, …)</t>
  </si>
  <si>
    <t>Zukauf pflanzliche (Mais, …)</t>
  </si>
  <si>
    <t>Zukauf organische (Gülle,…)</t>
  </si>
  <si>
    <t xml:space="preserve"> +++org. Dünger+++</t>
  </si>
  <si>
    <t>tierisch  1=ja</t>
  </si>
  <si>
    <t>Fehler org nicht Zukauf</t>
  </si>
  <si>
    <t>Abweichung plausibel</t>
  </si>
  <si>
    <r>
      <t xml:space="preserve">Wassereinleitung im Jahr </t>
    </r>
    <r>
      <rPr>
        <sz val="11"/>
        <rFont val="Arial"/>
        <family val="2"/>
      </rPr>
      <t>(in Fermenter oder Endlager)</t>
    </r>
  </si>
  <si>
    <t xml:space="preserve">in  </t>
  </si>
  <si>
    <t>in 1000 m³</t>
  </si>
  <si>
    <t xml:space="preserve">ggf. Verkauf Biogas im Jahr </t>
  </si>
  <si>
    <t xml:space="preserve">Plausibilisierung Gasertrag </t>
  </si>
  <si>
    <t>NH4-N</t>
  </si>
  <si>
    <t>Behälter 7</t>
  </si>
  <si>
    <t>(Fermenter bitte ankreuzen)</t>
  </si>
  <si>
    <t>Gefllügel</t>
  </si>
  <si>
    <t>so. Tiere</t>
  </si>
  <si>
    <r>
      <t>P</t>
    </r>
    <r>
      <rPr>
        <b/>
        <vertAlign val="subscript"/>
        <sz val="10"/>
        <color indexed="8"/>
        <rFont val="Arial"/>
        <family val="2"/>
      </rPr>
      <t>2</t>
    </r>
    <r>
      <rPr>
        <b/>
        <sz val="10"/>
        <color indexed="8"/>
        <rFont val="Arial"/>
        <family val="2"/>
      </rPr>
      <t>O</t>
    </r>
    <r>
      <rPr>
        <b/>
        <vertAlign val="subscript"/>
        <sz val="10"/>
        <color indexed="8"/>
        <rFont val="Arial"/>
        <family val="2"/>
      </rPr>
      <t>5</t>
    </r>
  </si>
  <si>
    <r>
      <t>K</t>
    </r>
    <r>
      <rPr>
        <b/>
        <vertAlign val="subscript"/>
        <sz val="10"/>
        <color indexed="8"/>
        <rFont val="Arial"/>
        <family val="2"/>
      </rPr>
      <t>2</t>
    </r>
    <r>
      <rPr>
        <b/>
        <sz val="10"/>
        <color indexed="8"/>
        <rFont val="Arial"/>
        <family val="2"/>
      </rPr>
      <t>O</t>
    </r>
  </si>
  <si>
    <r>
      <t>NH</t>
    </r>
    <r>
      <rPr>
        <b/>
        <vertAlign val="subscript"/>
        <sz val="10"/>
        <color indexed="8"/>
        <rFont val="Arial"/>
        <family val="2"/>
      </rPr>
      <t>4</t>
    </r>
    <r>
      <rPr>
        <b/>
        <sz val="10"/>
        <color indexed="8"/>
        <rFont val="Arial"/>
        <family val="2"/>
      </rPr>
      <t xml:space="preserve">-N </t>
    </r>
  </si>
  <si>
    <t>zwi</t>
  </si>
  <si>
    <t>Mindest</t>
  </si>
  <si>
    <t>Verweil-</t>
  </si>
  <si>
    <t>Substrat</t>
  </si>
  <si>
    <t>max</t>
  </si>
  <si>
    <t>Fehler</t>
  </si>
  <si>
    <t>NH4-Anteil</t>
  </si>
  <si>
    <t>je ha **</t>
  </si>
  <si>
    <t>kg/N</t>
  </si>
  <si>
    <t>Mögliche Nährstoffausbringung nach DüV § 6 (170 kg N/ha)</t>
  </si>
  <si>
    <t xml:space="preserve">ha </t>
  </si>
  <si>
    <t xml:space="preserve">Ausgebrachte Stickstoffmenge im Betrieb </t>
  </si>
  <si>
    <t>NH-4</t>
  </si>
  <si>
    <t>Anteil</t>
  </si>
  <si>
    <t xml:space="preserve">Mittel </t>
  </si>
  <si>
    <t>Mittel</t>
  </si>
  <si>
    <t>1=nein</t>
  </si>
  <si>
    <t>2=Rind, 3=schwein, 4=Geflügel, 5=sont.</t>
  </si>
  <si>
    <t>Tatsächlich</t>
  </si>
  <si>
    <t>NH-N</t>
  </si>
  <si>
    <t>tierischer Anteil in %</t>
  </si>
  <si>
    <t xml:space="preserve"> +++Rind+++</t>
  </si>
  <si>
    <t xml:space="preserve"> +++Schwein+++</t>
  </si>
  <si>
    <t xml:space="preserve"> +++Geflügel+++</t>
  </si>
  <si>
    <t xml:space="preserve"> +++sonstige tierische Herkunft+++</t>
  </si>
  <si>
    <t>Angabe der Weideflächen</t>
  </si>
  <si>
    <t>Nährstoffanfall in kg/ha</t>
  </si>
  <si>
    <t>2: Verkauf Biogas/Strom (TM + Wasser)</t>
  </si>
  <si>
    <t>mit Stroh</t>
  </si>
  <si>
    <t>ohne Stroh</t>
  </si>
  <si>
    <t xml:space="preserve">Maximal akzeptierter Überhang in kg/Betrieb </t>
  </si>
  <si>
    <t xml:space="preserve">Überschreitung des akzeptierten Überhangs in kg/Betrieb </t>
  </si>
  <si>
    <t>Überschreitung nach DüV § 6 (170 kg N/ha)</t>
  </si>
  <si>
    <r>
      <t>P</t>
    </r>
    <r>
      <rPr>
        <vertAlign val="subscript"/>
        <sz val="11"/>
        <rFont val="Arial"/>
        <family val="2"/>
      </rPr>
      <t>2</t>
    </r>
    <r>
      <rPr>
        <sz val="11"/>
        <rFont val="Arial"/>
        <family val="2"/>
      </rPr>
      <t>O</t>
    </r>
    <r>
      <rPr>
        <vertAlign val="subscript"/>
        <sz val="11"/>
        <rFont val="Arial"/>
        <family val="2"/>
      </rPr>
      <t>5</t>
    </r>
  </si>
  <si>
    <r>
      <t>K</t>
    </r>
    <r>
      <rPr>
        <vertAlign val="subscript"/>
        <sz val="11"/>
        <rFont val="Arial"/>
        <family val="2"/>
      </rPr>
      <t>2</t>
    </r>
    <r>
      <rPr>
        <sz val="11"/>
        <rFont val="Arial"/>
        <family val="2"/>
      </rPr>
      <t>O</t>
    </r>
  </si>
  <si>
    <t>7: Verwertung im eigenen Betrieb</t>
  </si>
  <si>
    <t>Relativ (%)</t>
  </si>
  <si>
    <t xml:space="preserve">1a: Anfall flüssiger/fester Wirtschaftsdünger (Gülle/Stallmist) aus eigener Tierhaltung </t>
  </si>
  <si>
    <t>Eingabemöglichkeit für andere Haltungsverfahren</t>
  </si>
  <si>
    <r>
      <t>K</t>
    </r>
    <r>
      <rPr>
        <vertAlign val="subscript"/>
        <sz val="10"/>
        <rFont val="Arial"/>
        <family val="2"/>
      </rPr>
      <t>2</t>
    </r>
    <r>
      <rPr>
        <sz val="10"/>
        <rFont val="Arial"/>
      </rPr>
      <t>O</t>
    </r>
  </si>
  <si>
    <t>Anfall eigene Tierhaltung im Jahr</t>
  </si>
  <si>
    <r>
      <t>1b/c: Einsatzstoffe Biogasanlage</t>
    </r>
    <r>
      <rPr>
        <sz val="10"/>
        <rFont val="Arial"/>
        <family val="2"/>
      </rPr>
      <t xml:space="preserve"> (Wirtschaftsdünger aus eigener Tierhaltung bereits in 1a enthalten)</t>
    </r>
  </si>
  <si>
    <r>
      <t>NH</t>
    </r>
    <r>
      <rPr>
        <b/>
        <vertAlign val="subscript"/>
        <sz val="10"/>
        <rFont val="Arial"/>
        <family val="2"/>
      </rPr>
      <t>4</t>
    </r>
    <r>
      <rPr>
        <b/>
        <sz val="10"/>
        <rFont val="Arial"/>
        <family val="2"/>
      </rPr>
      <t>-N:</t>
    </r>
  </si>
  <si>
    <r>
      <t>P</t>
    </r>
    <r>
      <rPr>
        <b/>
        <vertAlign val="subscript"/>
        <sz val="10"/>
        <rFont val="Arial"/>
        <family val="2"/>
      </rPr>
      <t>2</t>
    </r>
    <r>
      <rPr>
        <b/>
        <sz val="10"/>
        <rFont val="Arial"/>
        <family val="2"/>
      </rPr>
      <t>O</t>
    </r>
    <r>
      <rPr>
        <b/>
        <vertAlign val="subscript"/>
        <sz val="10"/>
        <rFont val="Arial"/>
        <family val="2"/>
      </rPr>
      <t>5</t>
    </r>
    <r>
      <rPr>
        <b/>
        <sz val="10"/>
        <rFont val="Arial"/>
        <family val="2"/>
      </rPr>
      <t>:</t>
    </r>
  </si>
  <si>
    <r>
      <t>K</t>
    </r>
    <r>
      <rPr>
        <b/>
        <vertAlign val="subscript"/>
        <sz val="10"/>
        <rFont val="Arial"/>
        <family val="2"/>
      </rPr>
      <t>2</t>
    </r>
    <r>
      <rPr>
        <b/>
        <sz val="10"/>
        <rFont val="Arial"/>
        <family val="2"/>
      </rPr>
      <t>O:</t>
    </r>
  </si>
  <si>
    <t>Es werden nur die  Lagerverluste berücksichtigt (ggf. anfallende Ausbringverluste sind nicht zu berücksichtigen)</t>
  </si>
  <si>
    <r>
      <t xml:space="preserve">Anfall aus eigener Tierhaltung </t>
    </r>
    <r>
      <rPr>
        <sz val="11.5"/>
        <rFont val="Arial"/>
        <family val="2"/>
      </rPr>
      <t>(ohne Biogasvergärung)</t>
    </r>
    <r>
      <rPr>
        <b/>
        <sz val="11.5"/>
        <rFont val="Arial"/>
        <family val="2"/>
      </rPr>
      <t xml:space="preserve">  im Jahr in m³</t>
    </r>
  </si>
  <si>
    <t>Summe Anfall im Jahr in m³</t>
  </si>
  <si>
    <t>Rechteckige Behälter (flüssig)</t>
  </si>
  <si>
    <t>bzw. Lagerflächen (fest)</t>
  </si>
  <si>
    <t>Runde Behälter (flüssig)</t>
  </si>
  <si>
    <t>Sonstige Lagerkapazitäten</t>
  </si>
  <si>
    <t>Adresse des Betriebs</t>
  </si>
  <si>
    <r>
      <t xml:space="preserve">6/7: Abgabe an andere Betriebe </t>
    </r>
    <r>
      <rPr>
        <b/>
        <i/>
        <sz val="14"/>
        <rFont val="Arial"/>
        <family val="2"/>
      </rPr>
      <t>und</t>
    </r>
    <r>
      <rPr>
        <b/>
        <sz val="12"/>
        <rFont val="Arial"/>
        <family val="2"/>
      </rPr>
      <t xml:space="preserve"> Ausbringung im eigenen Betrieb </t>
    </r>
  </si>
  <si>
    <r>
      <t>P</t>
    </r>
    <r>
      <rPr>
        <b/>
        <vertAlign val="subscript"/>
        <sz val="12"/>
        <rFont val="Arial"/>
        <family val="2"/>
      </rPr>
      <t>2</t>
    </r>
    <r>
      <rPr>
        <b/>
        <sz val="12"/>
        <rFont val="Arial"/>
        <family val="2"/>
      </rPr>
      <t>O</t>
    </r>
    <r>
      <rPr>
        <b/>
        <vertAlign val="subscript"/>
        <sz val="12"/>
        <rFont val="Arial"/>
        <family val="2"/>
      </rPr>
      <t>5</t>
    </r>
  </si>
  <si>
    <t>Anforderungen nach DüV § 6 (170 kg N/ha) eingehalten?</t>
  </si>
  <si>
    <t>Vorgaben der DüV § 6 (170 kg N/ha) eingehalten</t>
  </si>
  <si>
    <t>Berechnung Nährstoffflüsse und notwendiger Lagerraum</t>
  </si>
  <si>
    <t xml:space="preserve">        d) davon eingeleitetes Wasser</t>
  </si>
  <si>
    <t>Bewertung Nährstoffflüsse nach WDüngV</t>
  </si>
  <si>
    <t xml:space="preserve">Mindestanforderung nach WDüngV wird eingehalten: </t>
  </si>
  <si>
    <t>(nach Abzug der Stall-/Lagerverluste)</t>
  </si>
  <si>
    <r>
      <t>P</t>
    </r>
    <r>
      <rPr>
        <b/>
        <vertAlign val="subscript"/>
        <sz val="11"/>
        <color indexed="8"/>
        <rFont val="Calibri"/>
        <family val="2"/>
      </rPr>
      <t>2</t>
    </r>
    <r>
      <rPr>
        <b/>
        <sz val="10"/>
        <rFont val="Arial"/>
        <family val="2"/>
      </rPr>
      <t>O</t>
    </r>
    <r>
      <rPr>
        <b/>
        <vertAlign val="subscript"/>
        <sz val="11"/>
        <color indexed="8"/>
        <rFont val="Calibri"/>
        <family val="2"/>
      </rPr>
      <t>5</t>
    </r>
  </si>
  <si>
    <t>Gasertrag (von - 10 % bis + 20 %)</t>
  </si>
  <si>
    <t>Gasertrag in</t>
  </si>
  <si>
    <t>1000 m³ im Jahr</t>
  </si>
  <si>
    <t>1d) Niederschlagswasser und sonstiges Abwasser, das eingeleitet wird</t>
  </si>
  <si>
    <t>2: Verkauf von Biogas oder Strom</t>
  </si>
  <si>
    <r>
      <t>NH</t>
    </r>
    <r>
      <rPr>
        <b/>
        <vertAlign val="subscript"/>
        <sz val="10"/>
        <rFont val="Arial"/>
        <family val="2"/>
      </rPr>
      <t>4</t>
    </r>
    <r>
      <rPr>
        <b/>
        <sz val="10"/>
        <rFont val="Arial"/>
        <family val="2"/>
      </rPr>
      <t>-N</t>
    </r>
  </si>
  <si>
    <r>
      <t>K</t>
    </r>
    <r>
      <rPr>
        <b/>
        <vertAlign val="subscript"/>
        <sz val="11"/>
        <color indexed="8"/>
        <rFont val="Calibri"/>
        <family val="2"/>
      </rPr>
      <t>2</t>
    </r>
    <r>
      <rPr>
        <b/>
        <sz val="10"/>
        <rFont val="Arial"/>
        <family val="2"/>
      </rPr>
      <t>O</t>
    </r>
  </si>
  <si>
    <r>
      <t>Biogasgärreste</t>
    </r>
    <r>
      <rPr>
        <b/>
        <sz val="10"/>
        <rFont val="Arial"/>
        <family val="2"/>
      </rPr>
      <t xml:space="preserve"> </t>
    </r>
    <r>
      <rPr>
        <sz val="10"/>
        <rFont val="Arial"/>
        <family val="2"/>
      </rPr>
      <t>bzw. Gülle/Mist</t>
    </r>
  </si>
  <si>
    <r>
      <t xml:space="preserve">t </t>
    </r>
    <r>
      <rPr>
        <sz val="7"/>
        <rFont val="Arial"/>
        <family val="2"/>
      </rPr>
      <t>bzw.</t>
    </r>
    <r>
      <rPr>
        <b/>
        <sz val="10"/>
        <rFont val="Arial"/>
        <family val="2"/>
      </rPr>
      <t xml:space="preserve"> m³</t>
    </r>
  </si>
  <si>
    <r>
      <rPr>
        <b/>
        <sz val="10"/>
        <rFont val="Arial"/>
        <family val="2"/>
      </rPr>
      <t>in kg/t</t>
    </r>
    <r>
      <rPr>
        <sz val="10"/>
        <rFont val="Arial"/>
        <family val="2"/>
      </rPr>
      <t xml:space="preserve">                        </t>
    </r>
    <r>
      <rPr>
        <sz val="8"/>
        <rFont val="Arial"/>
        <family val="2"/>
      </rPr>
      <t>bzw.</t>
    </r>
    <r>
      <rPr>
        <sz val="10"/>
        <rFont val="Arial"/>
        <family val="2"/>
      </rPr>
      <t xml:space="preserve"> kg/m³</t>
    </r>
  </si>
  <si>
    <t>3: Die anrechenbaren gasf. N-Verluste (Lager)</t>
  </si>
  <si>
    <t>Milchviehgülle (Grünland)</t>
  </si>
  <si>
    <t>Milchviehgülle (Acker)</t>
  </si>
  <si>
    <t xml:space="preserve">Mastbullengülle </t>
  </si>
  <si>
    <t xml:space="preserve">Rindermist, Kurz-, Mittellangstand </t>
  </si>
  <si>
    <t xml:space="preserve">Rindermist, Tiefstall </t>
  </si>
  <si>
    <t xml:space="preserve">Rinderjauche </t>
  </si>
  <si>
    <t>Mastschweinegülle, Standardfutter</t>
  </si>
  <si>
    <t>Mastschweinegülle, N-/P-red. Fütterung</t>
  </si>
  <si>
    <t>Zuchtsauengülle (mit Ferkel), Standardfutter</t>
  </si>
  <si>
    <t>Zuchtsauengülle (mit Ferkel), N-/P-red. Fütterung</t>
  </si>
  <si>
    <t xml:space="preserve">Schweinemist </t>
  </si>
  <si>
    <t>Schweinejauche</t>
  </si>
  <si>
    <t xml:space="preserve">Hühnermist </t>
  </si>
  <si>
    <t xml:space="preserve">Hühnerkot </t>
  </si>
  <si>
    <t>Putenmist</t>
  </si>
  <si>
    <t xml:space="preserve">Masthähnchenmist </t>
  </si>
  <si>
    <t xml:space="preserve">Pekingentenmist </t>
  </si>
  <si>
    <t>Flugentenmist</t>
  </si>
  <si>
    <t>Pferdemist</t>
  </si>
  <si>
    <r>
      <t>Schaf</t>
    </r>
    <r>
      <rPr>
        <sz val="10"/>
        <color indexed="12"/>
        <rFont val="Arial"/>
        <family val="2"/>
      </rPr>
      <t>- und Ziegen</t>
    </r>
    <r>
      <rPr>
        <sz val="10"/>
        <color indexed="8"/>
        <rFont val="Arial"/>
        <family val="2"/>
      </rPr>
      <t>mist</t>
    </r>
  </si>
  <si>
    <t xml:space="preserve">Kaninchenmist </t>
  </si>
  <si>
    <t>Einsatzstoffe mit Inhaltsstoffen nach Basisdaten</t>
  </si>
  <si>
    <t>Wirkungsgrad Motor (wenn bekannt 30-40 %)</t>
  </si>
  <si>
    <t>5: Behälter für flüssige und feste Wirtschaftsdünger</t>
  </si>
  <si>
    <t>Beispiel:</t>
  </si>
  <si>
    <t>1 Fermenter mit 393 m³</t>
  </si>
  <si>
    <t>1 Nachgärer mit 393 m³ der um 70 % abgesenkt werden kann/darf</t>
  </si>
  <si>
    <t xml:space="preserve">Biogasanlage mit </t>
  </si>
  <si>
    <t>1 Endlager mit 1060 m³</t>
  </si>
  <si>
    <t xml:space="preserve">Das Endlager "Behälter 4" ist in einer Zeile zu erfassen. </t>
  </si>
  <si>
    <t>Fermenter mit 393 m³</t>
  </si>
  <si>
    <t>Nachgärer mit 393 m³ der um 70 % abgesenkt werden kann/darf</t>
  </si>
  <si>
    <t>Endlager mit 1060 m³</t>
  </si>
  <si>
    <t>Der Nachgärer muss in "zwei" Behälter geteilt und erfasst werden, weil ein Teil als Endlager genutzt werden kann. Dazu sind 30 % als Fermenter und 70 % als Endlager zu erfassen.</t>
  </si>
  <si>
    <r>
      <t xml:space="preserve">Der nicht absenkbare Teil des Nachgärers (Behälter 2) ist wie ein Fermenter zu behandeln, weil er nicht als Endlager genutzt werden kann. Dazu kann die Höhe des Behälters zur Aufteilung verwendet werden. Im Beispiel sind 30 % als Fermenter zu erfassen (30 % von 5 m = 1,5 m). In der Spalte Fermenter </t>
    </r>
    <r>
      <rPr>
        <b/>
        <sz val="12"/>
        <rFont val="Wingdings"/>
        <charset val="2"/>
      </rPr>
      <t>þ</t>
    </r>
    <r>
      <rPr>
        <sz val="10"/>
        <rFont val="Arial"/>
        <family val="2"/>
      </rPr>
      <t xml:space="preserve"> setzen.</t>
    </r>
  </si>
  <si>
    <r>
      <t xml:space="preserve">Der Fermenter "Behälter 1" muss als Fermenter </t>
    </r>
    <r>
      <rPr>
        <b/>
        <sz val="12"/>
        <rFont val="Wingdings"/>
        <charset val="2"/>
      </rPr>
      <t>þ</t>
    </r>
    <r>
      <rPr>
        <b/>
        <sz val="10"/>
        <rFont val="Arial"/>
        <family val="2"/>
      </rPr>
      <t xml:space="preserve"> </t>
    </r>
    <r>
      <rPr>
        <sz val="10"/>
        <rFont val="Arial"/>
        <family val="2"/>
      </rPr>
      <t>werden.</t>
    </r>
  </si>
  <si>
    <t xml:space="preserve">Der absenkbare Teil des Nachgärers (Behälter 3) kann als Endlager genutzt werden. Dazu kann die Höhe des Behälters zur Aufteilung verwendet werden. Im Beispiel sind 70 % als Endlager zu erfassen (70 % von 5 m = 3,5 m). </t>
  </si>
  <si>
    <t>Wie sind die Behälter Fermenter, Nachgärer und Endlager                                               im Programm zu erfassen?</t>
  </si>
  <si>
    <t>Summe N FM ohne Stroh in Biogas</t>
  </si>
  <si>
    <t>Summe N Mist ohne Stroh nicht in Biogas</t>
  </si>
  <si>
    <t>BGR</t>
  </si>
  <si>
    <t>Dünger</t>
  </si>
  <si>
    <t>Art</t>
  </si>
  <si>
    <t>Dünger Art</t>
  </si>
  <si>
    <t>N-Anteil</t>
  </si>
  <si>
    <t xml:space="preserve">             davon Gülle nicht in Biogasanlage </t>
  </si>
  <si>
    <t xml:space="preserve">             davon Mist nicht in Biogasanlage</t>
  </si>
  <si>
    <t>Zusammenfassung und Ergebnis (nach Dateneingabe)</t>
  </si>
  <si>
    <t>Betriebsnr.:</t>
  </si>
  <si>
    <t xml:space="preserve">Hinweis: Es müssen alle Werte vollständig eingetragen werden. </t>
  </si>
  <si>
    <t>Bewertung notwendiger Lagerraum nach DüV § 12</t>
  </si>
  <si>
    <t>Überschreitung 170 ohne Toleranz</t>
  </si>
  <si>
    <t>Verbleibende Toleranz aus WDüngV</t>
  </si>
  <si>
    <t>Max Toleranz</t>
  </si>
  <si>
    <t>ausblenden</t>
  </si>
  <si>
    <t>Summe Stroh in Biogas</t>
  </si>
  <si>
    <t>Nährstofffluss Biogasbetrieb</t>
  </si>
  <si>
    <t>P-Anteil</t>
  </si>
  <si>
    <t>© Bayerische Landesanstalt für Landwirtschaft, Institut für Agrarökologie - Düngung (Of, Li, Sp, Ka, Br, We); Stand: 25.05.2020</t>
  </si>
  <si>
    <r>
      <t xml:space="preserve">Notwendiger Lagerraum DüV § 12 </t>
    </r>
    <r>
      <rPr>
        <sz val="12"/>
        <rFont val="Arial"/>
        <family val="2"/>
      </rPr>
      <t>(</t>
    </r>
    <r>
      <rPr>
        <sz val="10"/>
        <rFont val="Arial"/>
        <family val="2"/>
      </rPr>
      <t>bei erfassten Tieren und Flächen</t>
    </r>
    <r>
      <rPr>
        <vertAlign val="superscript"/>
        <sz val="10"/>
        <rFont val="Arial"/>
        <family val="2"/>
      </rPr>
      <t>2)</t>
    </r>
    <r>
      <rPr>
        <sz val="10"/>
        <rFont val="Arial"/>
        <family val="2"/>
      </rPr>
      <t xml:space="preserve">) </t>
    </r>
  </si>
  <si>
    <t>Betriebe mit Separation</t>
  </si>
  <si>
    <t>2010-2019 (mm)</t>
  </si>
  <si>
    <t xml:space="preserve">Silphie </t>
  </si>
  <si>
    <t>Basisdaten: Nährstoffgehalte, Gasausbeute und Methangehalte von Biogassubstraten</t>
  </si>
  <si>
    <t xml:space="preserve"> gültig bis 31.12.2020 (Stand: 08.06.2020)</t>
  </si>
  <si>
    <t>Pflanzenteil</t>
  </si>
  <si>
    <t>Nährstoffgehalt</t>
  </si>
  <si>
    <t>Subatrat</t>
  </si>
  <si>
    <t xml:space="preserve"> +++Getreide, Körnermais+++</t>
  </si>
  <si>
    <t>Winterweizen E-Sorte</t>
  </si>
  <si>
    <t>Winterbrauweizen</t>
  </si>
  <si>
    <t>Weizenstroh</t>
  </si>
  <si>
    <t>Gerstenstroh</t>
  </si>
  <si>
    <t xml:space="preserve">Winterbraugerste </t>
  </si>
  <si>
    <t>Sommerbraugerste</t>
  </si>
  <si>
    <t>Roggenstroh</t>
  </si>
  <si>
    <t>Sommerroggen</t>
  </si>
  <si>
    <t>Haferstroh</t>
  </si>
  <si>
    <t>Emmer/Einkorn</t>
  </si>
  <si>
    <t>Hartweizen (Durum)</t>
  </si>
  <si>
    <t xml:space="preserve"> +++Körnerleguminosen+++</t>
  </si>
  <si>
    <t>Ackerbohnen</t>
  </si>
  <si>
    <t>Erbsen</t>
  </si>
  <si>
    <t>Lupinen blau</t>
  </si>
  <si>
    <t>Sojabohnen</t>
  </si>
  <si>
    <t xml:space="preserve"> +++Ölfrüchte+++</t>
  </si>
  <si>
    <t>Winterraps</t>
  </si>
  <si>
    <t>Sommerraps</t>
  </si>
  <si>
    <t>Rübsen</t>
  </si>
  <si>
    <t xml:space="preserve">Sonnenblumen </t>
  </si>
  <si>
    <t xml:space="preserve">Öllein, Faserflachs </t>
  </si>
  <si>
    <t>Leindotter</t>
  </si>
  <si>
    <t>Kartoffel (Speise, Stärke)</t>
  </si>
  <si>
    <t>Kartoffel (Veredelung)</t>
  </si>
  <si>
    <t>Frühkartoffel</t>
  </si>
  <si>
    <t>Zuckerrübenblatt</t>
  </si>
  <si>
    <t>Blatt</t>
  </si>
  <si>
    <t>Kohl-, Steckrüben</t>
  </si>
  <si>
    <t>Esparsette</t>
  </si>
  <si>
    <t>Silomais (32 % TM)</t>
  </si>
  <si>
    <t>Lieschkolbensilage</t>
  </si>
  <si>
    <t>Kolben/Liesch.</t>
  </si>
  <si>
    <t>GPS Lupinen</t>
  </si>
  <si>
    <t>GPS Erbsen/Ackerb.</t>
  </si>
  <si>
    <t xml:space="preserve">GPS Wicken </t>
  </si>
  <si>
    <t>GPS Sonnenblumen</t>
  </si>
  <si>
    <t xml:space="preserve">GPS Rübsen </t>
  </si>
  <si>
    <t xml:space="preserve">GPS Raps </t>
  </si>
  <si>
    <t>Silphie (Hauptfrucht im Ansaatjahr)</t>
  </si>
  <si>
    <t>Silphie (ab 2. Standjahr)</t>
  </si>
  <si>
    <t>Sida (Virginiamalve)</t>
  </si>
  <si>
    <t xml:space="preserve">Igniscum </t>
  </si>
  <si>
    <t>Riesenweizengras (Szarvasi)</t>
  </si>
  <si>
    <t>Chinaschilf (Miscanthus)</t>
  </si>
  <si>
    <t>Switchgras</t>
  </si>
  <si>
    <t>Rohrglanzgras</t>
  </si>
  <si>
    <t>GPS Hirse</t>
  </si>
  <si>
    <t xml:space="preserve">GPS Amarant </t>
  </si>
  <si>
    <t xml:space="preserve">GPS Quinoa </t>
  </si>
  <si>
    <t>Kleegras mit 30 % Leguminosen</t>
  </si>
  <si>
    <t>Kleegras mit 70 % Leguminosen</t>
  </si>
  <si>
    <t>GPS Futtererbsen/Ackerbohnen</t>
  </si>
  <si>
    <t>GPS Sommerrübsen</t>
  </si>
  <si>
    <t xml:space="preserve">GPS Sonnenblumen </t>
  </si>
  <si>
    <t>GPS Gemenge mit 30 % Leguminosen</t>
  </si>
  <si>
    <t xml:space="preserve">GPS Gemenge mit 70 % Leguminosen </t>
  </si>
  <si>
    <t>Schnittnutzung</t>
  </si>
  <si>
    <t>Streuwiese</t>
  </si>
  <si>
    <t>1 Schnittnutzung</t>
  </si>
  <si>
    <t>Mähweide ext. 20 % Weide</t>
  </si>
  <si>
    <t>Mähweide mittelint. 20 % Weide</t>
  </si>
  <si>
    <t>Mähweide int. 20 % Weide</t>
  </si>
  <si>
    <t>Mähweide ext. 60 % Weide</t>
  </si>
  <si>
    <t>Mähweide mittelint. 60 % Weide</t>
  </si>
  <si>
    <t>Mähweide int. 60 % Weide</t>
  </si>
  <si>
    <t xml:space="preserve"> +++Futtermittel Stoffstrombilanz+++</t>
  </si>
  <si>
    <t>Altbrot</t>
  </si>
  <si>
    <t>Apfeltrester</t>
  </si>
  <si>
    <t>Bierhefe, flüssig</t>
  </si>
  <si>
    <t>Biertreber, siliert</t>
  </si>
  <si>
    <t>Fischmehl</t>
  </si>
  <si>
    <t>Getreideschlempe, frisch (Weizen)</t>
  </si>
  <si>
    <t>Getreideschlempe, getrocknet (Weizen)</t>
  </si>
  <si>
    <t>Haferschälkleie</t>
  </si>
  <si>
    <t>Kartoffelpülpe, siliert</t>
  </si>
  <si>
    <t>Kartoffelschlempe, frisch</t>
  </si>
  <si>
    <t>Leinextraktionsschrot</t>
  </si>
  <si>
    <t>Leinkuchen</t>
  </si>
  <si>
    <t>Luzernegrünmehl</t>
  </si>
  <si>
    <t>Magermilch, frisch</t>
  </si>
  <si>
    <t>Maiskeimextraktionsschrot</t>
  </si>
  <si>
    <t>Maiskleberfutter (23-35 % RP)</t>
  </si>
  <si>
    <t>Malzkeime</t>
  </si>
  <si>
    <t>Maniok</t>
  </si>
  <si>
    <t>Melasseschnitzel</t>
  </si>
  <si>
    <t>Molke, Permeat</t>
  </si>
  <si>
    <t>Pressschnitzel, siliert</t>
  </si>
  <si>
    <t>Rapsextraktionsschrot</t>
  </si>
  <si>
    <t>Rapskuchen, fettarm</t>
  </si>
  <si>
    <t>Roggengrießkleie</t>
  </si>
  <si>
    <t>Roggenkleie</t>
  </si>
  <si>
    <t>Rübenkleinteile</t>
  </si>
  <si>
    <t>Sojaextraktionsschrot, geschält, 48 % RP</t>
  </si>
  <si>
    <t>Sojaextraktionsschrot, ungeschält, 44 % RP</t>
  </si>
  <si>
    <t>Sojaschalen</t>
  </si>
  <si>
    <t>Sonnenblumenextraktionsschrot, teilgeschält</t>
  </si>
  <si>
    <t>Sauermolke, frisch</t>
  </si>
  <si>
    <t>Süßmolke, frisch</t>
  </si>
  <si>
    <t>Trockenschnitzel</t>
  </si>
  <si>
    <t>Weizengrießkleie</t>
  </si>
  <si>
    <t>Weizenkleie</t>
  </si>
  <si>
    <t>Weizennachmehl</t>
  </si>
  <si>
    <t>Zuckerrübenmelasse</t>
  </si>
  <si>
    <t>Organische Dünger</t>
  </si>
  <si>
    <t>Rinderjauche (1,8 % TM)</t>
  </si>
  <si>
    <t>Mastschweinegülle (5 % TM), Standardfutter 4)</t>
  </si>
  <si>
    <t>Zuchtsauengülle (5 % TM), Standardfutter</t>
  </si>
  <si>
    <t>Zuchtsauengülle ( 5 % TM), N-/P-red. Fütterung 5)</t>
  </si>
  <si>
    <t>Schweinejauche (1,8 % TM)</t>
  </si>
  <si>
    <t>Pekingenten- und Gänsemist (30 % TM)</t>
  </si>
  <si>
    <t>Schaf-, Lama-, Alpaka- und Ziegenmist (30 % TM)</t>
  </si>
  <si>
    <t xml:space="preserve"> +++Gärrest, Klärschlamm+++</t>
  </si>
  <si>
    <t>Biogasgärrest flüssig*</t>
  </si>
  <si>
    <t xml:space="preserve">Klärschlamm flüssig (&lt; 15 % TM)* </t>
  </si>
  <si>
    <t xml:space="preserve">Klärschlamm fest (ab 15 % TM)* </t>
  </si>
  <si>
    <t>Die grau hinterlegten Zahlen sind Orientierungswerte, eigene Untersuchungen sind hier zwingend erforderlich!</t>
  </si>
  <si>
    <t>Toleranz 2019 u. 2020</t>
  </si>
  <si>
    <t>nach Düngeverordnung (DüV) und Verbringungsverordnung (WDüngV)</t>
  </si>
  <si>
    <t>3: Anrechenbare gasförmige N-Verluste Lager</t>
  </si>
  <si>
    <t>Summe Behälter, die dem Betrieb zur Verfügung stehen, in m³</t>
  </si>
  <si>
    <t>Berechnung 170 kg N/ha Grenze</t>
  </si>
  <si>
    <t>Summe Fermenter + Nachgärer + Endlager, die dem Betrieb zur Verfügung steht, in m³</t>
  </si>
  <si>
    <t>Fermenter (Nachgärer), in m³</t>
  </si>
  <si>
    <t>Summe Behälter im Betrieb für flüssige und feste Wirtschaftsdünger m³</t>
  </si>
  <si>
    <t>Summe Einsatzstoffe (1 b/c)</t>
  </si>
  <si>
    <t xml:space="preserve">    Zusätzlich sind für nicht abpumpfähige Mengen 10 cm zu berücksichtigen und von der Höhe abzuziehen.   
    Individuell sind z.B. bei gasdicht ausgeführten Behältern von Biogasanlagen teils mehr als 10 cm nicht nutzbar 
    (z.B. 50 cm durch Gasraum, Schaugläser, Überläufe usw.). Diese sind bei der Eingabe der Behälterhöhe abzuziehen.</t>
  </si>
  <si>
    <t>Endlager (Nachgärer) das dem Betrieb zur Verfügung steht, in m³ (ohne Fermenter)</t>
  </si>
  <si>
    <t>5: Endlager (Nachgärer) das dem Betrieb zur Verfügung steht, in m³ (ohne Fermenter)</t>
  </si>
  <si>
    <t>Nährstoffanfall Weide (kg/ha)</t>
  </si>
  <si>
    <t>Biogasbetrieb</t>
  </si>
  <si>
    <t>** Bezogen auf die LF abzüglich Flächen ohne Nutzung und ohne Düngung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</si>
</sst>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
    <numFmt numFmtId="165" formatCode="0.000"/>
    <numFmt numFmtId="166" formatCode="0.0"/>
    <numFmt numFmtId="167" formatCode="0.0%"/>
  </numFmts>
  <fonts count="98" x14ac:knownFonts="1">
    <font>
      <sz val="10"/>
      <name val="Arial"/>
    </font>
    <font>
      <sz val="10"/>
      <name val="Arial"/>
    </font>
    <font>
      <b/>
      <sz val="10"/>
      <name val="Arial"/>
      <family val="2"/>
    </font>
    <font>
      <b/>
      <sz val="16"/>
      <name val="Arial"/>
      <family val="2"/>
    </font>
    <font>
      <b/>
      <sz val="12"/>
      <name val="Arial"/>
      <family val="2"/>
    </font>
    <font>
      <sz val="8"/>
      <name val="Arial"/>
      <family val="2"/>
    </font>
    <font>
      <b/>
      <sz val="10"/>
      <color indexed="8"/>
      <name val="Arial"/>
      <family val="2"/>
    </font>
    <font>
      <sz val="10"/>
      <color indexed="8"/>
      <name val="Arial"/>
      <family val="2"/>
    </font>
    <font>
      <b/>
      <vertAlign val="superscript"/>
      <sz val="10"/>
      <name val="Arial"/>
      <family val="2"/>
    </font>
    <font>
      <sz val="10"/>
      <name val="Arial"/>
      <family val="2"/>
    </font>
    <font>
      <sz val="10"/>
      <color indexed="10"/>
      <name val="Arial"/>
      <family val="2"/>
    </font>
    <font>
      <sz val="10"/>
      <color indexed="81"/>
      <name val="Tahoma"/>
      <family val="2"/>
    </font>
    <font>
      <sz val="9"/>
      <name val="Arial"/>
      <family val="2"/>
    </font>
    <font>
      <b/>
      <sz val="11"/>
      <name val="Arial"/>
      <family val="2"/>
    </font>
    <font>
      <sz val="12"/>
      <name val="Arial"/>
      <family val="2"/>
    </font>
    <font>
      <sz val="9"/>
      <color indexed="81"/>
      <name val="Tahoma"/>
      <family val="2"/>
    </font>
    <font>
      <b/>
      <i/>
      <sz val="10"/>
      <name val="Arial"/>
      <family val="2"/>
    </font>
    <font>
      <b/>
      <sz val="9"/>
      <name val="Arial"/>
      <family val="2"/>
    </font>
    <font>
      <sz val="10"/>
      <name val="MS Sans Serif"/>
      <family val="2"/>
    </font>
    <font>
      <sz val="10"/>
      <name val="Calibri"/>
      <family val="2"/>
    </font>
    <font>
      <b/>
      <i/>
      <sz val="10"/>
      <color indexed="8"/>
      <name val="Arial"/>
      <family val="2"/>
    </font>
    <font>
      <b/>
      <vertAlign val="subscript"/>
      <sz val="10"/>
      <color indexed="8"/>
      <name val="Arial"/>
      <family val="2"/>
    </font>
    <font>
      <vertAlign val="superscript"/>
      <sz val="10"/>
      <color indexed="8"/>
      <name val="Arial"/>
      <family val="2"/>
    </font>
    <font>
      <sz val="10"/>
      <color indexed="12"/>
      <name val="Arial"/>
      <family val="2"/>
    </font>
    <font>
      <b/>
      <sz val="9"/>
      <color indexed="81"/>
      <name val="Tahoma"/>
      <family val="2"/>
    </font>
    <font>
      <b/>
      <strike/>
      <sz val="10"/>
      <name val="Arial"/>
      <family val="2"/>
    </font>
    <font>
      <b/>
      <vertAlign val="subscript"/>
      <sz val="10"/>
      <name val="Arial"/>
      <family val="2"/>
    </font>
    <font>
      <b/>
      <sz val="14"/>
      <name val="Arial"/>
      <family val="2"/>
    </font>
    <font>
      <b/>
      <sz val="10"/>
      <color indexed="10"/>
      <name val="Arial"/>
      <family val="2"/>
    </font>
    <font>
      <sz val="11"/>
      <name val="Arial"/>
      <family val="2"/>
    </font>
    <font>
      <vertAlign val="subscript"/>
      <sz val="10"/>
      <name val="Arial"/>
      <family val="2"/>
    </font>
    <font>
      <vertAlign val="superscript"/>
      <sz val="10"/>
      <name val="Arial"/>
      <family val="2"/>
    </font>
    <font>
      <sz val="8"/>
      <color indexed="81"/>
      <name val="Tahoma"/>
      <family val="2"/>
    </font>
    <font>
      <vertAlign val="subscript"/>
      <sz val="11"/>
      <color indexed="8"/>
      <name val="Calibri"/>
      <family val="2"/>
    </font>
    <font>
      <b/>
      <sz val="10"/>
      <color indexed="17"/>
      <name val="Arial"/>
      <family val="2"/>
    </font>
    <font>
      <sz val="7"/>
      <name val="Arial"/>
      <family val="2"/>
    </font>
    <font>
      <b/>
      <sz val="11"/>
      <name val="Calibri"/>
      <family val="2"/>
    </font>
    <font>
      <b/>
      <vertAlign val="superscript"/>
      <sz val="10"/>
      <color indexed="8"/>
      <name val="Arial"/>
      <family val="2"/>
    </font>
    <font>
      <b/>
      <u/>
      <sz val="9"/>
      <color indexed="81"/>
      <name val="Tahoma"/>
      <family val="2"/>
    </font>
    <font>
      <u/>
      <sz val="9"/>
      <color indexed="81"/>
      <name val="Tahoma"/>
      <family val="2"/>
    </font>
    <font>
      <b/>
      <i/>
      <sz val="14"/>
      <name val="Arial"/>
      <family val="2"/>
    </font>
    <font>
      <sz val="10"/>
      <name val="Arial"/>
      <family val="2"/>
    </font>
    <font>
      <vertAlign val="subscript"/>
      <sz val="11"/>
      <name val="Arial"/>
      <family val="2"/>
    </font>
    <font>
      <b/>
      <sz val="11.5"/>
      <name val="Arial"/>
      <family val="2"/>
    </font>
    <font>
      <sz val="11.5"/>
      <name val="Arial"/>
      <family val="2"/>
    </font>
    <font>
      <b/>
      <sz val="8"/>
      <name val="Arial"/>
      <family val="2"/>
    </font>
    <font>
      <b/>
      <vertAlign val="subscript"/>
      <sz val="12"/>
      <name val="Arial"/>
      <family val="2"/>
    </font>
    <font>
      <b/>
      <sz val="10"/>
      <color indexed="81"/>
      <name val="Tahoma"/>
      <family val="2"/>
    </font>
    <font>
      <b/>
      <vertAlign val="subscript"/>
      <sz val="11"/>
      <color indexed="8"/>
      <name val="Calibri"/>
      <family val="2"/>
    </font>
    <font>
      <u/>
      <sz val="10"/>
      <color indexed="81"/>
      <name val="Tahoma"/>
      <family val="2"/>
    </font>
    <font>
      <sz val="12"/>
      <color indexed="81"/>
      <name val="Tahoma"/>
      <family val="2"/>
    </font>
    <font>
      <sz val="10"/>
      <name val="Wingdings"/>
      <charset val="2"/>
    </font>
    <font>
      <b/>
      <sz val="12"/>
      <name val="Wingdings"/>
      <charset val="2"/>
    </font>
    <font>
      <b/>
      <sz val="18"/>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b/>
      <sz val="14"/>
      <color rgb="FF000000"/>
      <name val="Calibri"/>
      <family val="2"/>
    </font>
    <font>
      <sz val="14"/>
      <color rgb="FF000000"/>
      <name val="Calibri"/>
      <family val="2"/>
    </font>
    <font>
      <sz val="11"/>
      <color rgb="FF000000"/>
      <name val="Calibri"/>
      <family val="2"/>
    </font>
    <font>
      <b/>
      <sz val="12"/>
      <color rgb="FF000000"/>
      <name val="Calibri"/>
      <family val="2"/>
    </font>
    <font>
      <sz val="12"/>
      <color rgb="FF000000"/>
      <name val="Calibri"/>
      <family val="2"/>
    </font>
    <font>
      <b/>
      <sz val="10"/>
      <color rgb="FF000000"/>
      <name val="Calibri"/>
      <family val="2"/>
    </font>
    <font>
      <sz val="10"/>
      <color rgb="FF000000"/>
      <name val="Calibri"/>
      <family val="2"/>
    </font>
    <font>
      <b/>
      <sz val="10"/>
      <color theme="1"/>
      <name val="Arial"/>
      <family val="2"/>
    </font>
    <font>
      <sz val="10"/>
      <color theme="1"/>
      <name val="Arial"/>
      <family val="2"/>
    </font>
    <font>
      <sz val="10"/>
      <color rgb="FF0000FF"/>
      <name val="Arial"/>
      <family val="2"/>
    </font>
    <font>
      <b/>
      <sz val="12"/>
      <color rgb="FF00B0F0"/>
      <name val="Arial"/>
      <family val="2"/>
    </font>
    <font>
      <b/>
      <sz val="10"/>
      <color rgb="FFFF0000"/>
      <name val="Arial"/>
      <family val="2"/>
    </font>
    <font>
      <b/>
      <sz val="10"/>
      <color rgb="FF00B050"/>
      <name val="Arial"/>
      <family val="2"/>
    </font>
    <font>
      <b/>
      <sz val="11"/>
      <name val="Calibri"/>
      <family val="2"/>
      <scheme val="minor"/>
    </font>
    <font>
      <i/>
      <sz val="9"/>
      <color theme="0" tint="-0.499984740745262"/>
      <name val="Arial"/>
      <family val="2"/>
    </font>
    <font>
      <sz val="10"/>
      <color theme="9" tint="-0.499984740745262"/>
      <name val="Arial"/>
      <family val="2"/>
    </font>
    <font>
      <sz val="10"/>
      <color theme="1" tint="0.499984740745262"/>
      <name val="Arial"/>
      <family val="2"/>
    </font>
    <font>
      <sz val="10"/>
      <color rgb="FFFF0000"/>
      <name val="Arial"/>
      <family val="2"/>
    </font>
    <font>
      <b/>
      <sz val="12"/>
      <color rgb="FFFF0000"/>
      <name val="Arial"/>
      <family val="2"/>
    </font>
    <font>
      <sz val="10"/>
      <color theme="1"/>
      <name val="Calibri"/>
      <family val="2"/>
      <scheme val="minor"/>
    </font>
    <font>
      <sz val="10"/>
      <color rgb="FF0070C0"/>
      <name val="Arial"/>
      <family val="2"/>
    </font>
    <font>
      <sz val="8"/>
      <color theme="1"/>
      <name val="Calibri"/>
      <family val="2"/>
      <scheme val="minor"/>
    </font>
    <font>
      <b/>
      <sz val="12"/>
      <color theme="1"/>
      <name val="Arial"/>
      <family val="2"/>
    </font>
    <font>
      <sz val="11"/>
      <color theme="1"/>
      <name val="Arial"/>
      <family val="2"/>
    </font>
    <font>
      <b/>
      <sz val="11"/>
      <color rgb="FFFF0000"/>
      <name val="Arial"/>
      <family val="2"/>
    </font>
    <font>
      <sz val="10"/>
      <color rgb="FF00B050"/>
      <name val="Arial"/>
      <family val="2"/>
    </font>
    <font>
      <b/>
      <sz val="8"/>
      <color rgb="FFFF0000"/>
      <name val="Arial"/>
      <family val="2"/>
    </font>
  </fonts>
  <fills count="61">
    <fill>
      <patternFill patternType="none"/>
    </fill>
    <fill>
      <patternFill patternType="gray125"/>
    </fill>
    <fill>
      <patternFill patternType="solid">
        <fgColor indexed="43"/>
        <bgColor indexed="64"/>
      </patternFill>
    </fill>
    <fill>
      <patternFill patternType="darkDown"/>
    </fill>
    <fill>
      <patternFill patternType="lightUp"/>
    </fill>
    <fill>
      <patternFill patternType="lightDown"/>
    </fill>
    <fill>
      <patternFill patternType="solid">
        <fgColor indexed="65"/>
        <bgColor indexed="64"/>
      </patternFill>
    </fill>
    <fill>
      <patternFill patternType="solid">
        <fgColor indexed="31"/>
        <bgColor indexed="64"/>
      </patternFill>
    </fill>
    <fill>
      <patternFill patternType="solid">
        <fgColor indexed="4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FFFF00"/>
        <bgColor rgb="FF000000"/>
      </patternFill>
    </fill>
    <fill>
      <patternFill patternType="solid">
        <fgColor rgb="FF66FF66"/>
        <bgColor rgb="FF000000"/>
      </patternFill>
    </fill>
    <fill>
      <patternFill patternType="solid">
        <fgColor rgb="FFCCFFCC"/>
        <bgColor rgb="FF000000"/>
      </patternFill>
    </fill>
    <fill>
      <patternFill patternType="solid">
        <fgColor rgb="FFFFFF99"/>
        <bgColor rgb="FF000000"/>
      </patternFill>
    </fill>
    <fill>
      <patternFill patternType="lightGray">
        <fgColor rgb="FF000000"/>
        <bgColor rgb="FFFFFF99"/>
      </patternFill>
    </fill>
    <fill>
      <patternFill patternType="solid">
        <fgColor theme="0"/>
        <bgColor indexed="64"/>
      </patternFill>
    </fill>
    <fill>
      <patternFill patternType="solid">
        <fgColor rgb="FF00CC66"/>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00B050"/>
        <bgColor indexed="64"/>
      </patternFill>
    </fill>
    <fill>
      <patternFill patternType="solid">
        <fgColor theme="9"/>
        <bgColor indexed="64"/>
      </patternFill>
    </fill>
    <fill>
      <patternFill patternType="lightDown">
        <bgColor theme="0" tint="-0.14999847407452621"/>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lightDown">
        <bgColor theme="0" tint="-0.14993743705557422"/>
      </patternFill>
    </fill>
    <fill>
      <patternFill patternType="solid">
        <fgColor theme="0" tint="-4.9989318521683403E-2"/>
        <bgColor indexed="64"/>
      </patternFill>
    </fill>
  </fills>
  <borders count="30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dashed">
        <color indexed="64"/>
      </right>
      <top/>
      <bottom/>
      <diagonal/>
    </border>
    <border>
      <left/>
      <right style="dashed">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dashed">
        <color indexed="64"/>
      </right>
      <top/>
      <bottom style="dotted">
        <color indexed="64"/>
      </bottom>
      <diagonal/>
    </border>
    <border>
      <left style="dotted">
        <color indexed="64"/>
      </left>
      <right style="dash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ashed">
        <color indexed="64"/>
      </right>
      <top style="dotted">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style="thin">
        <color indexed="64"/>
      </top>
      <bottom style="thin">
        <color indexed="64"/>
      </bottom>
      <diagonal/>
    </border>
    <border>
      <left style="thin">
        <color indexed="64"/>
      </left>
      <right style="dashed">
        <color indexed="64"/>
      </right>
      <top/>
      <bottom style="medium">
        <color indexed="64"/>
      </bottom>
      <diagonal/>
    </border>
    <border>
      <left style="thin">
        <color indexed="64"/>
      </left>
      <right style="dashed">
        <color indexed="64"/>
      </right>
      <top style="dashed">
        <color indexed="64"/>
      </top>
      <bottom style="dashed">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medium">
        <color indexed="64"/>
      </top>
      <bottom style="dashed">
        <color indexed="64"/>
      </bottom>
      <diagonal/>
    </border>
    <border>
      <left style="dashed">
        <color indexed="64"/>
      </left>
      <right/>
      <top style="dashed">
        <color indexed="64"/>
      </top>
      <bottom style="dashed">
        <color indexed="64"/>
      </bottom>
      <diagonal/>
    </border>
    <border>
      <left/>
      <right style="medium">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thin">
        <color indexed="64"/>
      </left>
      <right style="dashed">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style="medium">
        <color indexed="64"/>
      </right>
      <top/>
      <bottom style="medium">
        <color indexed="64"/>
      </bottom>
      <diagonal/>
    </border>
    <border>
      <left style="thin">
        <color indexed="64"/>
      </left>
      <right/>
      <top style="dotted">
        <color indexed="64"/>
      </top>
      <bottom style="dashed">
        <color indexed="64"/>
      </bottom>
      <diagonal/>
    </border>
    <border>
      <left style="medium">
        <color indexed="64"/>
      </left>
      <right style="medium">
        <color indexed="64"/>
      </right>
      <top style="dotted">
        <color indexed="64"/>
      </top>
      <bottom style="dashed">
        <color indexed="64"/>
      </bottom>
      <diagonal/>
    </border>
    <border>
      <left/>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medium">
        <color indexed="64"/>
      </left>
      <right/>
      <top style="dotted">
        <color indexed="64"/>
      </top>
      <bottom style="dashed">
        <color indexed="64"/>
      </bottom>
      <diagonal/>
    </border>
    <border>
      <left style="dotted">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dashed">
        <color indexed="64"/>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right/>
      <top style="thin">
        <color theme="0" tint="-0.499984740745262"/>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right/>
      <top/>
      <bottom style="medium">
        <color theme="0" tint="-0.499984740745262"/>
      </bottom>
      <diagonal/>
    </border>
    <border>
      <left/>
      <right style="medium">
        <color theme="0" tint="-0.499984740745262"/>
      </right>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thin">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medium">
        <color theme="0" tint="-0.499984740745262"/>
      </right>
      <top style="medium">
        <color theme="0" tint="-0.499984740745262"/>
      </top>
      <bottom style="dotted">
        <color theme="0" tint="-0.499984740745262"/>
      </bottom>
      <diagonal/>
    </border>
    <border>
      <left style="medium">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medium">
        <color theme="0" tint="-0.499984740745262"/>
      </right>
      <top style="dotted">
        <color theme="0" tint="-0.499984740745262"/>
      </top>
      <bottom style="dotted">
        <color theme="0" tint="-0.499984740745262"/>
      </bottom>
      <diagonal/>
    </border>
    <border>
      <left style="medium">
        <color theme="0" tint="-0.499984740745262"/>
      </left>
      <right/>
      <top style="dotted">
        <color theme="0" tint="-0.499984740745262"/>
      </top>
      <bottom style="medium">
        <color theme="0" tint="-0.499984740745262"/>
      </bottom>
      <diagonal/>
    </border>
    <border>
      <left/>
      <right/>
      <top style="dotted">
        <color theme="0" tint="-0.499984740745262"/>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thin">
        <color theme="0" tint="-0.499984740745262"/>
      </left>
      <right/>
      <top/>
      <bottom/>
      <diagonal/>
    </border>
    <border>
      <left/>
      <right style="thin">
        <color theme="0" tint="-0.499984740745262"/>
      </right>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medium">
        <color theme="0" tint="-0.499984740745262"/>
      </right>
      <top style="thick">
        <color theme="0" tint="-0.499984740745262"/>
      </top>
      <bottom style="medium">
        <color theme="0" tint="-0.499984740745262"/>
      </bottom>
      <diagonal/>
    </border>
    <border>
      <left style="thick">
        <color theme="0" tint="-0.499984740745262"/>
      </left>
      <right/>
      <top/>
      <bottom/>
      <diagonal/>
    </border>
    <border>
      <left style="thick">
        <color theme="0" tint="-0.499984740745262"/>
      </left>
      <right/>
      <top style="medium">
        <color theme="0" tint="-0.499984740745262"/>
      </top>
      <bottom style="medium">
        <color theme="0" tint="-0.499984740745262"/>
      </bottom>
      <diagonal/>
    </border>
    <border>
      <left/>
      <right style="thick">
        <color theme="0" tint="-0.499984740745262"/>
      </right>
      <top/>
      <bottom/>
      <diagonal/>
    </border>
    <border>
      <left style="thick">
        <color theme="0" tint="-0.499984740745262"/>
      </left>
      <right/>
      <top style="medium">
        <color theme="0" tint="-0.499984740745262"/>
      </top>
      <bottom style="thick">
        <color theme="0" tint="-0.499984740745262"/>
      </bottom>
      <diagonal/>
    </border>
    <border>
      <left/>
      <right/>
      <top style="medium">
        <color theme="0" tint="-0.499984740745262"/>
      </top>
      <bottom style="thick">
        <color theme="0" tint="-0.499984740745262"/>
      </bottom>
      <diagonal/>
    </border>
    <border>
      <left/>
      <right style="medium">
        <color theme="0" tint="-0.499984740745262"/>
      </right>
      <top style="medium">
        <color theme="0" tint="-0.499984740745262"/>
      </top>
      <bottom style="thick">
        <color theme="0" tint="-0.499984740745262"/>
      </bottom>
      <diagonal/>
    </border>
    <border>
      <left/>
      <right style="thin">
        <color theme="0" tint="-0.499984740745262"/>
      </right>
      <top style="thin">
        <color theme="0" tint="-0.499984740745262"/>
      </top>
      <bottom style="thin">
        <color theme="0" tint="-0.499984740745262"/>
      </bottom>
      <diagonal/>
    </border>
    <border>
      <left/>
      <right/>
      <top style="dotted">
        <color theme="0" tint="-0.499984740745262"/>
      </top>
      <bottom/>
      <diagonal/>
    </border>
    <border>
      <left/>
      <right style="medium">
        <color theme="0" tint="-0.499984740745262"/>
      </right>
      <top style="dotted">
        <color theme="0" tint="-0.499984740745262"/>
      </top>
      <bottom/>
      <diagonal/>
    </border>
    <border>
      <left style="medium">
        <color theme="0" tint="-0.499984740745262"/>
      </left>
      <right/>
      <top style="dotted">
        <color theme="0" tint="-0.499984740745262"/>
      </top>
      <bottom/>
      <diagonal/>
    </border>
    <border>
      <left style="thin">
        <color theme="0" tint="-0.499984740745262"/>
      </left>
      <right/>
      <top style="dotted">
        <color theme="0" tint="-0.499984740745262"/>
      </top>
      <bottom style="dotted">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dotted">
        <color theme="0" tint="-0.499984740745262"/>
      </top>
      <bottom style="thin">
        <color theme="0" tint="-0.499984740745262"/>
      </bottom>
      <diagonal/>
    </border>
    <border>
      <left/>
      <right style="medium">
        <color theme="0" tint="-0.499984740745262"/>
      </right>
      <top style="dotted">
        <color theme="0" tint="-0.499984740745262"/>
      </top>
      <bottom style="thin">
        <color theme="0" tint="-0.499984740745262"/>
      </bottom>
      <diagonal/>
    </border>
    <border>
      <left/>
      <right style="thin">
        <color theme="0" tint="-0.499984740745262"/>
      </right>
      <top style="medium">
        <color theme="0" tint="-0.499984740745262"/>
      </top>
      <bottom/>
      <diagonal/>
    </border>
    <border>
      <left style="thick">
        <color theme="0" tint="-0.499984740745262"/>
      </left>
      <right/>
      <top/>
      <bottom style="medium">
        <color theme="0" tint="-0.499984740745262"/>
      </bottom>
      <diagonal/>
    </border>
    <border>
      <left style="medium">
        <color theme="0" tint="-0.499984740745262"/>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right style="thick">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right style="medium">
        <color theme="0" tint="-0.499984740745262"/>
      </right>
      <top style="medium">
        <color theme="0" tint="-0.499984740745262"/>
      </top>
      <bottom style="dashed">
        <color theme="0" tint="-0.499984740745262"/>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dotted">
        <color theme="0" tint="-0.499984740745262"/>
      </bottom>
      <diagonal/>
    </border>
    <border>
      <left/>
      <right style="medium">
        <color theme="0" tint="-0.499984740745262"/>
      </right>
      <top style="thin">
        <color theme="0" tint="-0.499984740745262"/>
      </top>
      <bottom/>
      <diagonal/>
    </border>
    <border>
      <left style="thin">
        <color theme="0" tint="-0.499984740745262"/>
      </left>
      <right/>
      <top style="medium">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medium">
        <color theme="0" tint="-0.499984740745262"/>
      </left>
      <right/>
      <top style="medium">
        <color theme="0" tint="-0.499984740745262"/>
      </top>
      <bottom style="thick">
        <color theme="0" tint="-0.499984740745262"/>
      </bottom>
      <diagonal/>
    </border>
    <border>
      <left/>
      <right style="thick">
        <color theme="0" tint="-0.499984740745262"/>
      </right>
      <top style="medium">
        <color theme="0" tint="-0.499984740745262"/>
      </top>
      <bottom style="thick">
        <color theme="0" tint="-0.499984740745262"/>
      </bottom>
      <diagonal/>
    </border>
    <border>
      <left/>
      <right style="thick">
        <color theme="0" tint="-0.499984740745262"/>
      </right>
      <top style="medium">
        <color theme="0" tint="-0.499984740745262"/>
      </top>
      <bottom/>
      <diagonal/>
    </border>
    <border>
      <left style="medium">
        <color theme="0" tint="-0.499984740745262"/>
      </left>
      <right style="thin">
        <color indexed="64"/>
      </right>
      <top/>
      <bottom/>
      <diagonal/>
    </border>
    <border>
      <left style="thin">
        <color indexed="64"/>
      </left>
      <right style="medium">
        <color theme="0" tint="-0.499984740745262"/>
      </right>
      <top/>
      <bottom/>
      <diagonal/>
    </border>
    <border>
      <left style="thin">
        <color theme="0" tint="-0.499984740745262"/>
      </left>
      <right/>
      <top style="dotted">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right style="thin">
        <color theme="0" tint="-0.499984740745262"/>
      </right>
      <top/>
      <bottom style="thin">
        <color theme="0" tint="-0.499984740745262"/>
      </bottom>
      <diagonal/>
    </border>
  </borders>
  <cellStyleXfs count="73">
    <xf numFmtId="0" fontId="0" fillId="0" borderId="0"/>
    <xf numFmtId="0" fontId="54" fillId="9"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6" fillId="33" borderId="200" applyNumberFormat="0" applyAlignment="0" applyProtection="0"/>
    <xf numFmtId="0" fontId="57" fillId="33" borderId="201" applyNumberFormat="0" applyAlignment="0" applyProtection="0"/>
    <xf numFmtId="0" fontId="58" fillId="34" borderId="201" applyNumberFormat="0" applyAlignment="0" applyProtection="0"/>
    <xf numFmtId="0" fontId="59" fillId="0" borderId="202" applyNumberFormat="0" applyFill="0" applyAlignment="0" applyProtection="0"/>
    <xf numFmtId="0" fontId="60" fillId="0" borderId="0" applyNumberFormat="0" applyFill="0" applyBorder="0" applyAlignment="0" applyProtection="0"/>
    <xf numFmtId="0" fontId="61" fillId="35" borderId="0" applyNumberFormat="0" applyBorder="0" applyAlignment="0" applyProtection="0"/>
    <xf numFmtId="43" fontId="1" fillId="0" borderId="0" applyFont="0" applyFill="0" applyBorder="0" applyAlignment="0" applyProtection="0"/>
    <xf numFmtId="43" fontId="9" fillId="0" borderId="0" applyFont="0" applyFill="0" applyBorder="0" applyAlignment="0" applyProtection="0"/>
    <xf numFmtId="0" fontId="62" fillId="36" borderId="0" applyNumberFormat="0" applyBorder="0" applyAlignment="0" applyProtection="0"/>
    <xf numFmtId="0" fontId="54" fillId="37" borderId="203" applyNumberFormat="0" applyFont="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0" fontId="63" fillId="38" borderId="0" applyNumberFormat="0" applyBorder="0" applyAlignment="0" applyProtection="0"/>
    <xf numFmtId="0" fontId="54" fillId="0" borderId="0"/>
    <xf numFmtId="0" fontId="18"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9" fillId="0" borderId="0"/>
    <xf numFmtId="0" fontId="9" fillId="0" borderId="0"/>
    <xf numFmtId="0" fontId="54" fillId="0" borderId="0"/>
    <xf numFmtId="0" fontId="64" fillId="0" borderId="0" applyNumberFormat="0" applyFill="0" applyBorder="0" applyAlignment="0" applyProtection="0"/>
    <xf numFmtId="0" fontId="65" fillId="0" borderId="204" applyNumberFormat="0" applyFill="0" applyAlignment="0" applyProtection="0"/>
    <xf numFmtId="0" fontId="66" fillId="0" borderId="205" applyNumberFormat="0" applyFill="0" applyAlignment="0" applyProtection="0"/>
    <xf numFmtId="0" fontId="67" fillId="0" borderId="206" applyNumberFormat="0" applyFill="0" applyAlignment="0" applyProtection="0"/>
    <xf numFmtId="0" fontId="67" fillId="0" borderId="0" applyNumberFormat="0" applyFill="0" applyBorder="0" applyAlignment="0" applyProtection="0"/>
    <xf numFmtId="0" fontId="68" fillId="0" borderId="207" applyNumberFormat="0" applyFill="0" applyAlignment="0" applyProtection="0"/>
    <xf numFmtId="0" fontId="69" fillId="0" borderId="0" applyNumberFormat="0" applyFill="0" applyBorder="0" applyAlignment="0" applyProtection="0"/>
    <xf numFmtId="0" fontId="70" fillId="39" borderId="208" applyNumberFormat="0" applyAlignment="0" applyProtection="0"/>
  </cellStyleXfs>
  <cellXfs count="2411">
    <xf numFmtId="0" fontId="0" fillId="0" borderId="0" xfId="0"/>
    <xf numFmtId="0" fontId="1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0" fillId="0" borderId="0" xfId="0" applyAlignment="1" applyProtection="1">
      <alignment vertical="center"/>
    </xf>
    <xf numFmtId="0" fontId="3" fillId="0" borderId="0" xfId="0" applyFont="1" applyAlignment="1" applyProtection="1">
      <alignment horizontal="center" vertical="center"/>
    </xf>
    <xf numFmtId="0" fontId="0" fillId="0" borderId="0" xfId="0" applyAlignment="1">
      <alignment vertical="center"/>
    </xf>
    <xf numFmtId="0" fontId="1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right" vertical="center"/>
    </xf>
    <xf numFmtId="49" fontId="2" fillId="0" borderId="0"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0" fontId="9" fillId="0" borderId="0" xfId="0" applyFont="1" applyFill="1" applyAlignment="1" applyProtection="1">
      <alignment horizontal="left" vertical="center"/>
    </xf>
    <xf numFmtId="0" fontId="10" fillId="0" borderId="0" xfId="0" applyFont="1" applyAlignment="1" applyProtection="1">
      <alignment vertical="center"/>
    </xf>
    <xf numFmtId="0" fontId="0" fillId="2" borderId="2" xfId="0"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166" fontId="0" fillId="0" borderId="0" xfId="0" applyNumberFormat="1" applyAlignment="1">
      <alignment horizontal="center" vertical="center"/>
    </xf>
    <xf numFmtId="1"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2" fillId="0" borderId="0" xfId="0"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Alignment="1" applyProtection="1">
      <alignment horizontal="center" vertical="center"/>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1" fontId="2" fillId="0" borderId="0" xfId="0" applyNumberFormat="1" applyFont="1" applyBorder="1" applyAlignment="1" applyProtection="1">
      <alignment horizontal="center" vertical="center"/>
    </xf>
    <xf numFmtId="49" fontId="9" fillId="2" borderId="2" xfId="0" applyNumberFormat="1" applyFont="1" applyFill="1" applyBorder="1" applyAlignment="1" applyProtection="1">
      <alignment horizontal="left" vertical="center"/>
      <protection locked="0"/>
    </xf>
    <xf numFmtId="0" fontId="5" fillId="0" borderId="0" xfId="0" applyFont="1" applyAlignment="1" applyProtection="1">
      <alignment vertical="center"/>
    </xf>
    <xf numFmtId="0" fontId="0" fillId="0" borderId="0" xfId="0" applyFill="1" applyBorder="1" applyAlignment="1" applyProtection="1">
      <alignment vertical="center"/>
      <protection hidden="1"/>
    </xf>
    <xf numFmtId="0" fontId="4" fillId="0" borderId="0" xfId="0" applyFont="1" applyBorder="1" applyAlignment="1" applyProtection="1">
      <alignment vertical="center"/>
    </xf>
    <xf numFmtId="0" fontId="9" fillId="0" borderId="0" xfId="0" applyFont="1"/>
    <xf numFmtId="0" fontId="5" fillId="0" borderId="0" xfId="0" applyFont="1" applyBorder="1" applyAlignment="1" applyProtection="1">
      <alignment horizontal="center" vertical="center"/>
    </xf>
    <xf numFmtId="49" fontId="2" fillId="0" borderId="0" xfId="62" applyNumberFormat="1" applyFont="1" applyFill="1"/>
    <xf numFmtId="49" fontId="16" fillId="0" borderId="0" xfId="62" applyNumberFormat="1" applyFont="1" applyFill="1"/>
    <xf numFmtId="49" fontId="2" fillId="0" borderId="0" xfId="62" applyNumberFormat="1" applyFont="1" applyFill="1" applyBorder="1"/>
    <xf numFmtId="0" fontId="9" fillId="0" borderId="0" xfId="62"/>
    <xf numFmtId="0" fontId="2" fillId="0" borderId="0" xfId="62" applyFont="1" applyFill="1" applyAlignment="1">
      <alignment horizontal="center"/>
    </xf>
    <xf numFmtId="49" fontId="16" fillId="0" borderId="0" xfId="62" applyNumberFormat="1" applyFont="1" applyFill="1" applyAlignment="1">
      <alignment horizontal="left"/>
    </xf>
    <xf numFmtId="49" fontId="2" fillId="0" borderId="3" xfId="62" applyNumberFormat="1" applyFont="1" applyFill="1" applyBorder="1"/>
    <xf numFmtId="49" fontId="2" fillId="0" borderId="4" xfId="62" applyNumberFormat="1" applyFont="1" applyFill="1" applyBorder="1"/>
    <xf numFmtId="0" fontId="2" fillId="0" borderId="4" xfId="62" applyFont="1" applyFill="1" applyBorder="1" applyAlignment="1"/>
    <xf numFmtId="49" fontId="2" fillId="0" borderId="0" xfId="62" applyNumberFormat="1" applyFont="1" applyFill="1" applyBorder="1" applyAlignment="1"/>
    <xf numFmtId="0" fontId="2" fillId="0" borderId="0" xfId="62" applyFont="1" applyFill="1" applyBorder="1" applyAlignment="1"/>
    <xf numFmtId="49" fontId="2" fillId="0" borderId="5" xfId="62" applyNumberFormat="1" applyFont="1" applyFill="1" applyBorder="1"/>
    <xf numFmtId="49" fontId="9" fillId="0" borderId="6" xfId="62" applyNumberFormat="1" applyFont="1" applyFill="1" applyBorder="1"/>
    <xf numFmtId="49" fontId="9" fillId="0" borderId="7" xfId="62" applyNumberFormat="1" applyFont="1" applyFill="1" applyBorder="1"/>
    <xf numFmtId="0" fontId="2" fillId="0" borderId="8" xfId="62" applyFont="1" applyFill="1" applyBorder="1" applyAlignment="1">
      <alignment horizontal="center"/>
    </xf>
    <xf numFmtId="49" fontId="9" fillId="0" borderId="0" xfId="62" applyNumberFormat="1" applyFont="1" applyFill="1" applyBorder="1"/>
    <xf numFmtId="166" fontId="9" fillId="0" borderId="9" xfId="62" applyNumberFormat="1" applyFont="1" applyFill="1" applyBorder="1" applyAlignment="1">
      <alignment horizontal="center"/>
    </xf>
    <xf numFmtId="49" fontId="2" fillId="0" borderId="10" xfId="62" applyNumberFormat="1" applyFont="1" applyFill="1" applyBorder="1"/>
    <xf numFmtId="49" fontId="9" fillId="0" borderId="2" xfId="62" applyNumberFormat="1" applyFont="1" applyFill="1" applyBorder="1"/>
    <xf numFmtId="0" fontId="9" fillId="0" borderId="11" xfId="62" applyFont="1" applyFill="1" applyBorder="1" applyAlignment="1">
      <alignment horizontal="center"/>
    </xf>
    <xf numFmtId="49" fontId="9" fillId="0" borderId="5" xfId="62" applyNumberFormat="1" applyFont="1" applyFill="1" applyBorder="1"/>
    <xf numFmtId="49" fontId="9" fillId="0" borderId="12" xfId="62" applyNumberFormat="1" applyFont="1" applyFill="1" applyBorder="1"/>
    <xf numFmtId="49" fontId="9" fillId="0" borderId="13" xfId="62" applyNumberFormat="1" applyFont="1" applyFill="1" applyBorder="1"/>
    <xf numFmtId="0" fontId="9" fillId="0" borderId="0" xfId="62" applyFont="1" applyFill="1" applyBorder="1"/>
    <xf numFmtId="49" fontId="9" fillId="0" borderId="0" xfId="62" applyNumberFormat="1" applyFont="1" applyFill="1" applyBorder="1" applyAlignment="1">
      <alignment horizontal="left"/>
    </xf>
    <xf numFmtId="49" fontId="12" fillId="0" borderId="5" xfId="62" applyNumberFormat="1" applyFont="1" applyFill="1" applyBorder="1"/>
    <xf numFmtId="49" fontId="17" fillId="0" borderId="5" xfId="62" applyNumberFormat="1" applyFont="1" applyFill="1" applyBorder="1"/>
    <xf numFmtId="49" fontId="12" fillId="0" borderId="6" xfId="62" applyNumberFormat="1" applyFont="1" applyFill="1" applyBorder="1"/>
    <xf numFmtId="49" fontId="9" fillId="0" borderId="0" xfId="62" applyNumberFormat="1" applyFont="1"/>
    <xf numFmtId="0" fontId="9" fillId="0" borderId="0" xfId="62" applyFont="1" applyAlignment="1">
      <alignment horizontal="left"/>
    </xf>
    <xf numFmtId="0" fontId="9" fillId="0" borderId="0" xfId="62" applyFont="1" applyBorder="1"/>
    <xf numFmtId="0" fontId="71" fillId="0" borderId="0" xfId="62" applyFont="1" applyFill="1" applyBorder="1" applyAlignment="1">
      <alignment horizontal="left"/>
    </xf>
    <xf numFmtId="0" fontId="72" fillId="0" borderId="0" xfId="62" applyFont="1" applyFill="1" applyBorder="1"/>
    <xf numFmtId="0" fontId="72" fillId="0" borderId="0" xfId="62" applyFont="1" applyFill="1" applyBorder="1" applyAlignment="1">
      <alignment horizontal="center"/>
    </xf>
    <xf numFmtId="0" fontId="73" fillId="0" borderId="0" xfId="62" applyFont="1" applyFill="1" applyBorder="1" applyAlignment="1">
      <alignment horizontal="center"/>
    </xf>
    <xf numFmtId="0" fontId="73" fillId="0" borderId="0" xfId="62" applyFont="1" applyFill="1" applyBorder="1"/>
    <xf numFmtId="0" fontId="74" fillId="0" borderId="0" xfId="62" applyFont="1" applyFill="1" applyBorder="1" applyAlignment="1"/>
    <xf numFmtId="0" fontId="75" fillId="0" borderId="0" xfId="62" applyFont="1" applyFill="1" applyBorder="1" applyAlignment="1">
      <alignment horizontal="center"/>
    </xf>
    <xf numFmtId="0" fontId="74" fillId="40" borderId="14" xfId="62" applyFont="1" applyFill="1" applyBorder="1" applyAlignment="1">
      <alignment horizontal="center" vertical="center"/>
    </xf>
    <xf numFmtId="0" fontId="75" fillId="0" borderId="0" xfId="62" applyFont="1" applyFill="1" applyBorder="1"/>
    <xf numFmtId="0" fontId="76" fillId="41" borderId="15" xfId="62" applyFont="1" applyFill="1" applyBorder="1" applyAlignment="1">
      <alignment horizontal="center"/>
    </xf>
    <xf numFmtId="0" fontId="76" fillId="41" borderId="16" xfId="62" applyFont="1" applyFill="1" applyBorder="1" applyAlignment="1">
      <alignment horizontal="center"/>
    </xf>
    <xf numFmtId="0" fontId="76" fillId="0" borderId="0" xfId="62" applyFont="1" applyFill="1" applyBorder="1" applyAlignment="1">
      <alignment horizontal="center"/>
    </xf>
    <xf numFmtId="0" fontId="76" fillId="0" borderId="0" xfId="62" applyFont="1" applyFill="1" applyBorder="1" applyAlignment="1">
      <alignment horizontal="left"/>
    </xf>
    <xf numFmtId="0" fontId="76" fillId="40" borderId="17" xfId="62" applyFont="1" applyFill="1" applyBorder="1" applyAlignment="1">
      <alignment horizontal="center"/>
    </xf>
    <xf numFmtId="0" fontId="77" fillId="0" borderId="0" xfId="62" applyFont="1" applyFill="1" applyBorder="1"/>
    <xf numFmtId="0" fontId="77" fillId="0" borderId="0" xfId="62" applyFont="1" applyFill="1" applyBorder="1" applyAlignment="1">
      <alignment horizontal="center"/>
    </xf>
    <xf numFmtId="0" fontId="77" fillId="0" borderId="0" xfId="62" applyFont="1" applyFill="1" applyBorder="1" applyAlignment="1">
      <alignment vertical="center"/>
    </xf>
    <xf numFmtId="49" fontId="77" fillId="42" borderId="18" xfId="62" applyNumberFormat="1" applyFont="1" applyFill="1" applyBorder="1" applyAlignment="1">
      <alignment horizontal="center" vertical="center"/>
    </xf>
    <xf numFmtId="0" fontId="19" fillId="42" borderId="19" xfId="62" applyFont="1" applyFill="1" applyBorder="1" applyAlignment="1">
      <alignment vertical="center"/>
    </xf>
    <xf numFmtId="0" fontId="19" fillId="0" borderId="0" xfId="62" applyFont="1" applyFill="1" applyBorder="1"/>
    <xf numFmtId="49" fontId="77" fillId="0" borderId="0" xfId="62" applyNumberFormat="1" applyFont="1" applyFill="1" applyBorder="1" applyAlignment="1">
      <alignment horizontal="center"/>
    </xf>
    <xf numFmtId="49" fontId="19" fillId="43" borderId="1" xfId="62" applyNumberFormat="1" applyFont="1" applyFill="1" applyBorder="1" applyAlignment="1">
      <alignment vertical="center"/>
    </xf>
    <xf numFmtId="49" fontId="77" fillId="0" borderId="0" xfId="62" applyNumberFormat="1" applyFont="1" applyFill="1" applyBorder="1" applyAlignment="1">
      <alignment horizontal="center" vertical="center"/>
    </xf>
    <xf numFmtId="0" fontId="19" fillId="0" borderId="0" xfId="62" applyFont="1" applyFill="1" applyBorder="1" applyAlignment="1">
      <alignment vertical="center"/>
    </xf>
    <xf numFmtId="49" fontId="19" fillId="0" borderId="0" xfId="62" applyNumberFormat="1" applyFont="1" applyFill="1" applyBorder="1" applyAlignment="1">
      <alignment vertical="center"/>
    </xf>
    <xf numFmtId="49" fontId="77" fillId="42" borderId="20" xfId="62" applyNumberFormat="1" applyFont="1" applyFill="1" applyBorder="1" applyAlignment="1">
      <alignment horizontal="center" vertical="center"/>
    </xf>
    <xf numFmtId="0" fontId="77" fillId="42" borderId="21" xfId="62" applyFont="1" applyFill="1" applyBorder="1" applyAlignment="1">
      <alignment vertical="center"/>
    </xf>
    <xf numFmtId="49" fontId="19" fillId="43" borderId="22" xfId="62" applyNumberFormat="1" applyFont="1" applyFill="1" applyBorder="1" applyAlignment="1">
      <alignment vertical="center"/>
    </xf>
    <xf numFmtId="49" fontId="77" fillId="42" borderId="23" xfId="62" applyNumberFormat="1" applyFont="1" applyFill="1" applyBorder="1" applyAlignment="1">
      <alignment horizontal="center" vertical="center"/>
    </xf>
    <xf numFmtId="0" fontId="77" fillId="42" borderId="24" xfId="62" applyFont="1" applyFill="1" applyBorder="1" applyAlignment="1">
      <alignment vertical="center"/>
    </xf>
    <xf numFmtId="49" fontId="19" fillId="43" borderId="25" xfId="62" applyNumberFormat="1" applyFont="1" applyFill="1" applyBorder="1" applyAlignment="1">
      <alignment vertical="center"/>
    </xf>
    <xf numFmtId="49" fontId="77" fillId="42" borderId="15" xfId="62" applyNumberFormat="1" applyFont="1" applyFill="1" applyBorder="1" applyAlignment="1">
      <alignment horizontal="center" vertical="center"/>
    </xf>
    <xf numFmtId="0" fontId="77" fillId="42" borderId="16" xfId="62" applyFont="1" applyFill="1" applyBorder="1" applyAlignment="1">
      <alignment vertical="center"/>
    </xf>
    <xf numFmtId="49" fontId="19" fillId="43" borderId="17" xfId="62" applyNumberFormat="1" applyFont="1" applyFill="1" applyBorder="1" applyAlignment="1">
      <alignment vertical="center"/>
    </xf>
    <xf numFmtId="49" fontId="77" fillId="42" borderId="26" xfId="62" applyNumberFormat="1" applyFont="1" applyFill="1" applyBorder="1" applyAlignment="1">
      <alignment horizontal="center" vertical="center"/>
    </xf>
    <xf numFmtId="0" fontId="77" fillId="42" borderId="27" xfId="62" applyFont="1" applyFill="1" applyBorder="1" applyAlignment="1">
      <alignment vertical="center"/>
    </xf>
    <xf numFmtId="49" fontId="19" fillId="43" borderId="25" xfId="62" applyNumberFormat="1" applyFont="1" applyFill="1" applyBorder="1" applyAlignment="1">
      <alignment horizontal="left" vertical="center"/>
    </xf>
    <xf numFmtId="49" fontId="19" fillId="43" borderId="17" xfId="62" applyNumberFormat="1" applyFont="1" applyFill="1" applyBorder="1" applyAlignment="1">
      <alignment horizontal="left" vertical="center"/>
    </xf>
    <xf numFmtId="49" fontId="19" fillId="43" borderId="22" xfId="62" applyNumberFormat="1" applyFont="1" applyFill="1" applyBorder="1" applyAlignment="1">
      <alignment horizontal="left" vertical="center"/>
    </xf>
    <xf numFmtId="0" fontId="19" fillId="43" borderId="22" xfId="62" applyFont="1" applyFill="1" applyBorder="1" applyAlignment="1">
      <alignment vertical="center"/>
    </xf>
    <xf numFmtId="0" fontId="19" fillId="43" borderId="17" xfId="62" applyFont="1" applyFill="1" applyBorder="1" applyAlignment="1">
      <alignment vertical="center"/>
    </xf>
    <xf numFmtId="0" fontId="19" fillId="43" borderId="25" xfId="62" applyFont="1" applyFill="1" applyBorder="1" applyAlignment="1">
      <alignment horizontal="left" vertical="center"/>
    </xf>
    <xf numFmtId="0" fontId="19" fillId="43" borderId="28" xfId="62" applyFont="1" applyFill="1" applyBorder="1" applyAlignment="1">
      <alignment vertical="center"/>
    </xf>
    <xf numFmtId="49" fontId="19" fillId="44" borderId="25" xfId="62" applyNumberFormat="1" applyFont="1" applyFill="1" applyBorder="1" applyAlignment="1">
      <alignment vertical="center"/>
    </xf>
    <xf numFmtId="0" fontId="19" fillId="44" borderId="25" xfId="62" applyFont="1" applyFill="1" applyBorder="1" applyAlignment="1">
      <alignment vertical="center"/>
    </xf>
    <xf numFmtId="0" fontId="19" fillId="44" borderId="17" xfId="62" applyFont="1" applyFill="1" applyBorder="1" applyAlignment="1">
      <alignment vertical="center"/>
    </xf>
    <xf numFmtId="0" fontId="77" fillId="0" borderId="0" xfId="62" applyFont="1" applyFill="1" applyBorder="1" applyAlignment="1">
      <alignment horizontal="left" vertical="center"/>
    </xf>
    <xf numFmtId="0" fontId="77" fillId="42" borderId="19" xfId="62" applyFont="1" applyFill="1" applyBorder="1" applyAlignment="1">
      <alignment vertical="center"/>
    </xf>
    <xf numFmtId="49" fontId="19" fillId="43" borderId="1" xfId="62" applyNumberFormat="1" applyFont="1" applyFill="1" applyBorder="1" applyAlignment="1">
      <alignment horizontal="left" vertical="center"/>
    </xf>
    <xf numFmtId="49" fontId="19" fillId="42" borderId="19" xfId="62" applyNumberFormat="1" applyFont="1" applyFill="1" applyBorder="1" applyAlignment="1">
      <alignment vertical="center"/>
    </xf>
    <xf numFmtId="49" fontId="19" fillId="0" borderId="0" xfId="62" applyNumberFormat="1" applyFont="1" applyFill="1" applyBorder="1"/>
    <xf numFmtId="0" fontId="9" fillId="0" borderId="5" xfId="62" applyFont="1" applyFill="1" applyBorder="1" applyAlignment="1">
      <alignment horizontal="center"/>
    </xf>
    <xf numFmtId="0" fontId="9" fillId="0" borderId="0" xfId="62" applyFont="1" applyFill="1" applyBorder="1" applyAlignment="1">
      <alignment horizontal="center"/>
    </xf>
    <xf numFmtId="0" fontId="6" fillId="0" borderId="0" xfId="0" applyFont="1" applyBorder="1"/>
    <xf numFmtId="0" fontId="7" fillId="0" borderId="0" xfId="0" applyFont="1" applyAlignment="1">
      <alignment horizontal="center"/>
    </xf>
    <xf numFmtId="0" fontId="20" fillId="0" borderId="0" xfId="0" applyFont="1" applyBorder="1" applyAlignment="1">
      <alignment horizontal="center"/>
    </xf>
    <xf numFmtId="0" fontId="7" fillId="0" borderId="0" xfId="0" applyFont="1" applyBorder="1" applyAlignment="1">
      <alignment horizontal="center"/>
    </xf>
    <xf numFmtId="0" fontId="7" fillId="0" borderId="0" xfId="0" applyFont="1" applyBorder="1" applyAlignment="1">
      <alignment horizontal="center" vertical="top"/>
    </xf>
    <xf numFmtId="0" fontId="7" fillId="0" borderId="0" xfId="0" applyFont="1" applyBorder="1"/>
    <xf numFmtId="0" fontId="7" fillId="0" borderId="0" xfId="62" applyFont="1" applyFill="1" applyAlignment="1"/>
    <xf numFmtId="0" fontId="20" fillId="0" borderId="0" xfId="0" applyFont="1" applyBorder="1" applyAlignment="1">
      <alignment horizontal="left"/>
    </xf>
    <xf numFmtId="0" fontId="7" fillId="0" borderId="0" xfId="0" applyFont="1"/>
    <xf numFmtId="0" fontId="7" fillId="0" borderId="0" xfId="62" applyFont="1" applyFill="1" applyAlignment="1">
      <alignment horizontal="center"/>
    </xf>
    <xf numFmtId="0" fontId="6" fillId="0" borderId="0" xfId="0" applyFont="1"/>
    <xf numFmtId="0" fontId="7" fillId="0" borderId="0" xfId="0" applyFont="1" applyAlignment="1">
      <alignment horizontal="center" vertical="top"/>
    </xf>
    <xf numFmtId="0" fontId="6" fillId="0" borderId="0" xfId="0" applyFont="1" applyAlignment="1">
      <alignment horizontal="left"/>
    </xf>
    <xf numFmtId="0" fontId="78" fillId="0" borderId="0" xfId="62" applyFont="1" applyFill="1" applyAlignment="1"/>
    <xf numFmtId="0" fontId="20" fillId="0" borderId="0" xfId="0" applyFont="1" applyAlignment="1">
      <alignment horizontal="left"/>
    </xf>
    <xf numFmtId="0" fontId="78" fillId="0" borderId="3" xfId="0" applyFont="1" applyBorder="1"/>
    <xf numFmtId="0" fontId="78" fillId="0" borderId="29" xfId="0" applyFont="1" applyBorder="1"/>
    <xf numFmtId="0" fontId="78" fillId="0" borderId="29" xfId="0" applyFont="1" applyFill="1" applyBorder="1" applyAlignment="1">
      <alignment horizontal="center"/>
    </xf>
    <xf numFmtId="0" fontId="78" fillId="0" borderId="30" xfId="0" applyFont="1" applyBorder="1" applyAlignment="1">
      <alignment horizontal="center" vertical="top"/>
    </xf>
    <xf numFmtId="0" fontId="78" fillId="0" borderId="3" xfId="0" applyFont="1" applyBorder="1" applyAlignment="1"/>
    <xf numFmtId="0" fontId="78" fillId="0" borderId="31" xfId="0" applyFont="1" applyFill="1" applyBorder="1" applyAlignment="1">
      <alignment horizontal="center"/>
    </xf>
    <xf numFmtId="0" fontId="78" fillId="0" borderId="32" xfId="0" applyFont="1" applyBorder="1" applyAlignment="1">
      <alignment horizontal="center" vertical="top"/>
    </xf>
    <xf numFmtId="0" fontId="78" fillId="0" borderId="5" xfId="0" applyFont="1" applyBorder="1" applyAlignment="1"/>
    <xf numFmtId="0" fontId="78" fillId="0" borderId="6" xfId="0" applyFont="1" applyBorder="1"/>
    <xf numFmtId="0" fontId="78" fillId="0" borderId="33" xfId="0" applyFont="1" applyBorder="1"/>
    <xf numFmtId="0" fontId="78" fillId="0" borderId="33" xfId="0" applyFont="1" applyFill="1" applyBorder="1" applyAlignment="1">
      <alignment horizontal="center"/>
    </xf>
    <xf numFmtId="0" fontId="78" fillId="0" borderId="34" xfId="0" applyFont="1" applyBorder="1" applyAlignment="1">
      <alignment horizontal="center" vertical="top"/>
    </xf>
    <xf numFmtId="0" fontId="78" fillId="0" borderId="6" xfId="0" applyFont="1" applyBorder="1" applyAlignment="1">
      <alignment horizontal="centerContinuous"/>
    </xf>
    <xf numFmtId="0" fontId="79" fillId="0" borderId="29" xfId="0" applyFont="1" applyBorder="1"/>
    <xf numFmtId="0" fontId="79" fillId="0" borderId="29" xfId="0" applyFont="1" applyFill="1" applyBorder="1" applyAlignment="1">
      <alignment horizontal="center"/>
    </xf>
    <xf numFmtId="0" fontId="79" fillId="0" borderId="29" xfId="0" applyFont="1" applyBorder="1" applyAlignment="1">
      <alignment horizontal="center"/>
    </xf>
    <xf numFmtId="0" fontId="79" fillId="0" borderId="4" xfId="0" applyFont="1" applyBorder="1" applyAlignment="1">
      <alignment horizontal="center" vertical="top"/>
    </xf>
    <xf numFmtId="0" fontId="79" fillId="0" borderId="3" xfId="0" applyFont="1" applyBorder="1" applyAlignment="1">
      <alignment horizontal="centerContinuous"/>
    </xf>
    <xf numFmtId="0" fontId="6" fillId="0" borderId="5" xfId="0" applyFont="1" applyBorder="1" applyAlignment="1">
      <alignment vertical="top"/>
    </xf>
    <xf numFmtId="0" fontId="9" fillId="0" borderId="31" xfId="0" applyFont="1" applyFill="1" applyBorder="1" applyAlignment="1">
      <alignment vertical="top" wrapText="1"/>
    </xf>
    <xf numFmtId="0" fontId="79" fillId="0" borderId="31" xfId="0" applyFont="1" applyFill="1" applyBorder="1" applyAlignment="1">
      <alignment horizontal="center" vertical="top"/>
    </xf>
    <xf numFmtId="0" fontId="79" fillId="0" borderId="31" xfId="0" applyFont="1" applyBorder="1" applyAlignment="1">
      <alignment horizontal="center" vertical="top"/>
    </xf>
    <xf numFmtId="0" fontId="79" fillId="0" borderId="0" xfId="0" applyFont="1" applyBorder="1" applyAlignment="1">
      <alignment horizontal="center" vertical="top"/>
    </xf>
    <xf numFmtId="166" fontId="79" fillId="0" borderId="5" xfId="0" applyNumberFormat="1" applyFont="1" applyFill="1" applyBorder="1" applyAlignment="1">
      <alignment horizontal="center" vertical="top"/>
    </xf>
    <xf numFmtId="0" fontId="79" fillId="0" borderId="31" xfId="0" applyFont="1" applyFill="1" applyBorder="1" applyAlignment="1">
      <alignment vertical="top" wrapText="1"/>
    </xf>
    <xf numFmtId="0" fontId="79" fillId="0" borderId="0" xfId="0" applyFont="1" applyFill="1" applyBorder="1" applyAlignment="1">
      <alignment horizontal="center" vertical="top"/>
    </xf>
    <xf numFmtId="0" fontId="79" fillId="0" borderId="31" xfId="0" applyFont="1" applyBorder="1" applyAlignment="1">
      <alignment vertical="top" wrapText="1"/>
    </xf>
    <xf numFmtId="0" fontId="80" fillId="0" borderId="0" xfId="0" applyFont="1" applyBorder="1" applyAlignment="1">
      <alignment horizontal="center" vertical="top"/>
    </xf>
    <xf numFmtId="0" fontId="78" fillId="0" borderId="12" xfId="0" applyFont="1" applyBorder="1" applyAlignment="1">
      <alignment vertical="top"/>
    </xf>
    <xf numFmtId="0" fontId="79" fillId="0" borderId="35" xfId="0" applyFont="1" applyBorder="1" applyAlignment="1">
      <alignment vertical="top" wrapText="1"/>
    </xf>
    <xf numFmtId="0" fontId="79" fillId="0" borderId="35" xfId="0" applyFont="1" applyFill="1" applyBorder="1" applyAlignment="1">
      <alignment horizontal="center" vertical="top"/>
    </xf>
    <xf numFmtId="0" fontId="79" fillId="0" borderId="35" xfId="0" applyFont="1" applyBorder="1" applyAlignment="1">
      <alignment horizontal="center" vertical="top"/>
    </xf>
    <xf numFmtId="0" fontId="79" fillId="0" borderId="13" xfId="0" applyFont="1" applyBorder="1" applyAlignment="1">
      <alignment horizontal="center" vertical="top"/>
    </xf>
    <xf numFmtId="166" fontId="79" fillId="0" borderId="12" xfId="0" applyNumberFormat="1" applyFont="1" applyFill="1" applyBorder="1" applyAlignment="1">
      <alignment horizontal="center" vertical="top"/>
    </xf>
    <xf numFmtId="0" fontId="79" fillId="0" borderId="31" xfId="0" quotePrefix="1" applyFont="1" applyFill="1" applyBorder="1" applyAlignment="1">
      <alignment vertical="top" wrapText="1"/>
    </xf>
    <xf numFmtId="0" fontId="79" fillId="0" borderId="31" xfId="0" quotePrefix="1" applyFont="1" applyFill="1" applyBorder="1" applyAlignment="1">
      <alignment horizontal="center" vertical="top"/>
    </xf>
    <xf numFmtId="0" fontId="6" fillId="0" borderId="12" xfId="0" applyFont="1" applyBorder="1" applyAlignment="1">
      <alignment vertical="top"/>
    </xf>
    <xf numFmtId="0" fontId="79" fillId="0" borderId="35" xfId="0" quotePrefix="1" applyFont="1" applyFill="1" applyBorder="1" applyAlignment="1">
      <alignment vertical="top" wrapText="1"/>
    </xf>
    <xf numFmtId="0" fontId="79" fillId="0" borderId="35" xfId="0" quotePrefix="1" applyFont="1" applyFill="1" applyBorder="1" applyAlignment="1">
      <alignment horizontal="center" vertical="top"/>
    </xf>
    <xf numFmtId="0" fontId="7" fillId="0" borderId="0" xfId="62" applyFont="1" applyFill="1"/>
    <xf numFmtId="0" fontId="7" fillId="0" borderId="0" xfId="62" applyFont="1" applyAlignment="1"/>
    <xf numFmtId="49" fontId="9" fillId="0" borderId="0" xfId="62" applyNumberFormat="1" applyFont="1" applyFill="1" applyAlignment="1">
      <alignment horizontal="left"/>
    </xf>
    <xf numFmtId="166" fontId="9" fillId="0" borderId="0" xfId="62" applyNumberFormat="1" applyFont="1" applyFill="1" applyAlignment="1">
      <alignment horizontal="left"/>
    </xf>
    <xf numFmtId="0" fontId="9" fillId="0" borderId="0" xfId="62" applyFont="1" applyFill="1" applyAlignment="1">
      <alignment horizontal="center"/>
    </xf>
    <xf numFmtId="166" fontId="9" fillId="0" borderId="0" xfId="62" applyNumberFormat="1" applyFont="1" applyFill="1" applyAlignment="1">
      <alignment horizontal="center"/>
    </xf>
    <xf numFmtId="0" fontId="9" fillId="0" borderId="0" xfId="62" applyFont="1" applyFill="1"/>
    <xf numFmtId="0" fontId="9" fillId="0" borderId="0" xfId="0" applyFont="1" applyFill="1"/>
    <xf numFmtId="166" fontId="2" fillId="0" borderId="0" xfId="62" applyNumberFormat="1" applyFont="1" applyFill="1" applyAlignment="1">
      <alignment horizontal="center"/>
    </xf>
    <xf numFmtId="166" fontId="2" fillId="0" borderId="0" xfId="62" applyNumberFormat="1" applyFont="1" applyFill="1" applyAlignment="1">
      <alignment horizontal="left"/>
    </xf>
    <xf numFmtId="166" fontId="2" fillId="0" borderId="30" xfId="62" applyNumberFormat="1" applyFont="1" applyFill="1" applyBorder="1" applyAlignment="1">
      <alignment horizontal="center"/>
    </xf>
    <xf numFmtId="0" fontId="2" fillId="0" borderId="3" xfId="62" applyFont="1" applyFill="1" applyBorder="1" applyAlignment="1"/>
    <xf numFmtId="0" fontId="2" fillId="0" borderId="30" xfId="62" applyFont="1" applyFill="1" applyBorder="1" applyAlignment="1">
      <alignment horizontal="center"/>
    </xf>
    <xf numFmtId="166" fontId="2" fillId="0" borderId="32" xfId="62" applyNumberFormat="1" applyFont="1" applyFill="1" applyBorder="1" applyAlignment="1">
      <alignment horizontal="center"/>
    </xf>
    <xf numFmtId="0" fontId="2" fillId="0" borderId="5" xfId="62" applyFont="1" applyFill="1" applyBorder="1" applyAlignment="1"/>
    <xf numFmtId="0" fontId="2" fillId="0" borderId="32" xfId="62" applyFont="1" applyFill="1" applyBorder="1" applyAlignment="1">
      <alignment horizontal="center"/>
    </xf>
    <xf numFmtId="0" fontId="2" fillId="3" borderId="32" xfId="62" applyFont="1" applyFill="1" applyBorder="1" applyAlignment="1">
      <alignment horizontal="center"/>
    </xf>
    <xf numFmtId="166" fontId="9" fillId="3" borderId="5" xfId="62" applyNumberFormat="1" applyFont="1" applyFill="1" applyBorder="1" applyAlignment="1">
      <alignment horizontal="center"/>
    </xf>
    <xf numFmtId="0" fontId="2" fillId="3" borderId="0" xfId="62" applyFont="1" applyFill="1" applyBorder="1" applyAlignment="1">
      <alignment horizontal="center"/>
    </xf>
    <xf numFmtId="0" fontId="25" fillId="3" borderId="0" xfId="62" applyFont="1" applyFill="1" applyBorder="1" applyAlignment="1">
      <alignment horizontal="center"/>
    </xf>
    <xf numFmtId="165" fontId="2" fillId="0" borderId="32" xfId="62" applyNumberFormat="1" applyFont="1" applyFill="1" applyBorder="1" applyAlignment="1">
      <alignment horizontal="center"/>
    </xf>
    <xf numFmtId="165" fontId="9" fillId="0" borderId="9" xfId="62" applyNumberFormat="1" applyFont="1" applyFill="1" applyBorder="1" applyAlignment="1">
      <alignment horizontal="center"/>
    </xf>
    <xf numFmtId="166" fontId="9" fillId="0" borderId="34" xfId="62" applyNumberFormat="1" applyFont="1" applyFill="1" applyBorder="1" applyAlignment="1">
      <alignment horizontal="center"/>
    </xf>
    <xf numFmtId="0" fontId="2" fillId="3" borderId="36" xfId="62" applyFont="1" applyFill="1" applyBorder="1" applyAlignment="1">
      <alignment horizontal="center"/>
    </xf>
    <xf numFmtId="9" fontId="2" fillId="3" borderId="8" xfId="62" applyNumberFormat="1" applyFont="1" applyFill="1" applyBorder="1" applyAlignment="1">
      <alignment horizontal="center"/>
    </xf>
    <xf numFmtId="167" fontId="2" fillId="3" borderId="36" xfId="62" applyNumberFormat="1" applyFont="1" applyFill="1" applyBorder="1" applyAlignment="1">
      <alignment horizontal="center"/>
    </xf>
    <xf numFmtId="9" fontId="2" fillId="3" borderId="37" xfId="62" applyNumberFormat="1" applyFont="1" applyFill="1" applyBorder="1" applyAlignment="1">
      <alignment horizontal="center"/>
    </xf>
    <xf numFmtId="0" fontId="2" fillId="0" borderId="33" xfId="62" applyFont="1" applyFill="1" applyBorder="1" applyAlignment="1">
      <alignment horizontal="center"/>
    </xf>
    <xf numFmtId="165" fontId="2" fillId="0" borderId="34" xfId="62" applyNumberFormat="1" applyFont="1" applyFill="1" applyBorder="1" applyAlignment="1">
      <alignment horizontal="center"/>
    </xf>
    <xf numFmtId="167" fontId="2" fillId="0" borderId="7" xfId="62" applyNumberFormat="1" applyFont="1" applyFill="1" applyBorder="1" applyAlignment="1">
      <alignment horizontal="center"/>
    </xf>
    <xf numFmtId="167" fontId="2" fillId="0" borderId="36" xfId="62" applyNumberFormat="1" applyFont="1" applyFill="1" applyBorder="1" applyAlignment="1">
      <alignment horizontal="center"/>
    </xf>
    <xf numFmtId="167" fontId="2" fillId="0" borderId="37" xfId="62" applyNumberFormat="1" applyFont="1" applyFill="1" applyBorder="1" applyAlignment="1">
      <alignment horizontal="center"/>
    </xf>
    <xf numFmtId="0" fontId="9" fillId="3" borderId="6" xfId="62" applyFont="1" applyFill="1" applyBorder="1" applyAlignment="1">
      <alignment horizontal="center"/>
    </xf>
    <xf numFmtId="0" fontId="9" fillId="0" borderId="6" xfId="62" applyFont="1" applyFill="1" applyBorder="1" applyAlignment="1">
      <alignment horizontal="center"/>
    </xf>
    <xf numFmtId="165" fontId="9" fillId="0" borderId="37" xfId="62" applyNumberFormat="1" applyFont="1" applyFill="1" applyBorder="1" applyAlignment="1">
      <alignment horizontal="center"/>
    </xf>
    <xf numFmtId="166" fontId="9" fillId="0" borderId="38" xfId="62" applyNumberFormat="1" applyFont="1" applyFill="1" applyBorder="1" applyAlignment="1">
      <alignment horizontal="center"/>
    </xf>
    <xf numFmtId="0" fontId="9" fillId="3" borderId="17" xfId="62" applyFont="1" applyFill="1" applyBorder="1" applyAlignment="1">
      <alignment horizontal="center"/>
    </xf>
    <xf numFmtId="0" fontId="9" fillId="3" borderId="2" xfId="62" applyFont="1" applyFill="1" applyBorder="1" applyAlignment="1">
      <alignment horizontal="center"/>
    </xf>
    <xf numFmtId="166" fontId="9" fillId="3" borderId="10" xfId="62" applyNumberFormat="1" applyFont="1" applyFill="1" applyBorder="1" applyAlignment="1">
      <alignment horizontal="center"/>
    </xf>
    <xf numFmtId="0" fontId="9" fillId="0" borderId="38" xfId="62" applyFont="1" applyFill="1" applyBorder="1" applyAlignment="1">
      <alignment horizontal="center"/>
    </xf>
    <xf numFmtId="166" fontId="9" fillId="0" borderId="2" xfId="62" applyNumberFormat="1" applyFont="1" applyFill="1" applyBorder="1" applyAlignment="1">
      <alignment horizontal="center"/>
    </xf>
    <xf numFmtId="166" fontId="9" fillId="0" borderId="17" xfId="62" applyNumberFormat="1" applyFont="1" applyFill="1" applyBorder="1" applyAlignment="1">
      <alignment horizontal="center"/>
    </xf>
    <xf numFmtId="166" fontId="9" fillId="0" borderId="39" xfId="62" applyNumberFormat="1" applyFont="1" applyFill="1" applyBorder="1" applyAlignment="1">
      <alignment horizontal="center"/>
    </xf>
    <xf numFmtId="166" fontId="9" fillId="0" borderId="10" xfId="62" applyNumberFormat="1" applyFont="1" applyFill="1" applyBorder="1" applyAlignment="1">
      <alignment horizontal="center"/>
    </xf>
    <xf numFmtId="166" fontId="9" fillId="0" borderId="32" xfId="62" applyNumberFormat="1" applyFont="1" applyFill="1" applyBorder="1" applyAlignment="1">
      <alignment horizontal="center"/>
    </xf>
    <xf numFmtId="166" fontId="9" fillId="0" borderId="5" xfId="62" applyNumberFormat="1" applyFont="1" applyFill="1" applyBorder="1" applyAlignment="1">
      <alignment horizontal="center"/>
    </xf>
    <xf numFmtId="166" fontId="9" fillId="3" borderId="25" xfId="62" applyNumberFormat="1" applyFont="1" applyFill="1" applyBorder="1" applyAlignment="1">
      <alignment horizontal="center"/>
    </xf>
    <xf numFmtId="166" fontId="9" fillId="3" borderId="0" xfId="62" applyNumberFormat="1" applyFont="1" applyFill="1" applyBorder="1" applyAlignment="1">
      <alignment horizontal="center"/>
    </xf>
    <xf numFmtId="166" fontId="9" fillId="0" borderId="0" xfId="62" applyNumberFormat="1" applyFont="1" applyFill="1" applyBorder="1" applyAlignment="1">
      <alignment horizontal="center"/>
    </xf>
    <xf numFmtId="166" fontId="9" fillId="0" borderId="25" xfId="62" applyNumberFormat="1" applyFont="1" applyFill="1" applyBorder="1" applyAlignment="1">
      <alignment horizontal="center"/>
    </xf>
    <xf numFmtId="166" fontId="9" fillId="3" borderId="12" xfId="62" applyNumberFormat="1" applyFont="1" applyFill="1" applyBorder="1" applyAlignment="1">
      <alignment horizontal="center"/>
    </xf>
    <xf numFmtId="166" fontId="9" fillId="0" borderId="40" xfId="62" applyNumberFormat="1" applyFont="1" applyFill="1" applyBorder="1" applyAlignment="1">
      <alignment horizontal="center"/>
    </xf>
    <xf numFmtId="166" fontId="9" fillId="0" borderId="31" xfId="62" applyNumberFormat="1" applyFont="1" applyFill="1" applyBorder="1" applyAlignment="1">
      <alignment horizontal="center"/>
    </xf>
    <xf numFmtId="166" fontId="9" fillId="0" borderId="41" xfId="62" applyNumberFormat="1" applyFont="1" applyFill="1" applyBorder="1" applyAlignment="1">
      <alignment horizontal="center"/>
    </xf>
    <xf numFmtId="166" fontId="9" fillId="0" borderId="12" xfId="62" applyNumberFormat="1" applyFont="1" applyFill="1" applyBorder="1" applyAlignment="1">
      <alignment horizontal="center"/>
    </xf>
    <xf numFmtId="166" fontId="9" fillId="3" borderId="22" xfId="62" applyNumberFormat="1" applyFont="1" applyFill="1" applyBorder="1" applyAlignment="1">
      <alignment horizontal="center"/>
    </xf>
    <xf numFmtId="166" fontId="9" fillId="3" borderId="13" xfId="62" applyNumberFormat="1" applyFont="1" applyFill="1" applyBorder="1" applyAlignment="1">
      <alignment horizontal="center"/>
    </xf>
    <xf numFmtId="166" fontId="9" fillId="0" borderId="13" xfId="62" applyNumberFormat="1" applyFont="1" applyFill="1" applyBorder="1" applyAlignment="1">
      <alignment horizontal="center"/>
    </xf>
    <xf numFmtId="166" fontId="9" fillId="0" borderId="22" xfId="62" applyNumberFormat="1" applyFont="1" applyFill="1" applyBorder="1" applyAlignment="1">
      <alignment horizontal="center"/>
    </xf>
    <xf numFmtId="166" fontId="9" fillId="0" borderId="42" xfId="62" applyNumberFormat="1" applyFont="1" applyFill="1" applyBorder="1" applyAlignment="1">
      <alignment horizontal="center"/>
    </xf>
    <xf numFmtId="166" fontId="9" fillId="3" borderId="35" xfId="62" applyNumberFormat="1" applyFont="1" applyFill="1" applyBorder="1" applyAlignment="1">
      <alignment horizontal="center"/>
    </xf>
    <xf numFmtId="166" fontId="9" fillId="0" borderId="43" xfId="62" applyNumberFormat="1" applyFont="1" applyFill="1" applyBorder="1" applyAlignment="1">
      <alignment horizontal="center"/>
    </xf>
    <xf numFmtId="0" fontId="9" fillId="0" borderId="32" xfId="62" applyFont="1" applyFill="1" applyBorder="1" applyAlignment="1">
      <alignment horizontal="center"/>
    </xf>
    <xf numFmtId="49" fontId="2" fillId="0" borderId="12" xfId="62" applyNumberFormat="1" applyFont="1" applyFill="1" applyBorder="1"/>
    <xf numFmtId="49" fontId="2" fillId="0" borderId="13" xfId="62" applyNumberFormat="1" applyFont="1" applyFill="1" applyBorder="1"/>
    <xf numFmtId="0" fontId="9" fillId="3" borderId="22" xfId="62" applyFont="1" applyFill="1" applyBorder="1" applyAlignment="1">
      <alignment horizontal="center"/>
    </xf>
    <xf numFmtId="0" fontId="9" fillId="3" borderId="13" xfId="62" applyFont="1" applyFill="1" applyBorder="1" applyAlignment="1">
      <alignment horizontal="center"/>
    </xf>
    <xf numFmtId="0" fontId="9" fillId="0" borderId="41" xfId="62" applyFont="1" applyFill="1" applyBorder="1" applyAlignment="1">
      <alignment horizontal="center"/>
    </xf>
    <xf numFmtId="166" fontId="9" fillId="3" borderId="43" xfId="62" applyNumberFormat="1" applyFont="1" applyFill="1" applyBorder="1" applyAlignment="1">
      <alignment horizontal="center"/>
    </xf>
    <xf numFmtId="49" fontId="2" fillId="0" borderId="44" xfId="62" applyNumberFormat="1" applyFont="1" applyFill="1" applyBorder="1"/>
    <xf numFmtId="49" fontId="9" fillId="0" borderId="45" xfId="62" applyNumberFormat="1" applyFont="1" applyFill="1" applyBorder="1"/>
    <xf numFmtId="166" fontId="9" fillId="0" borderId="46" xfId="62" applyNumberFormat="1" applyFont="1" applyFill="1" applyBorder="1" applyAlignment="1">
      <alignment horizontal="center"/>
    </xf>
    <xf numFmtId="0" fontId="9" fillId="0" borderId="47" xfId="62" applyFont="1" applyFill="1" applyBorder="1" applyAlignment="1">
      <alignment horizontal="center"/>
    </xf>
    <xf numFmtId="0" fontId="9" fillId="3" borderId="48" xfId="62" applyFont="1" applyFill="1" applyBorder="1" applyAlignment="1">
      <alignment horizontal="center"/>
    </xf>
    <xf numFmtId="0" fontId="9" fillId="3" borderId="45" xfId="62" applyFont="1" applyFill="1" applyBorder="1" applyAlignment="1">
      <alignment horizontal="center"/>
    </xf>
    <xf numFmtId="167" fontId="2" fillId="3" borderId="47" xfId="37" applyNumberFormat="1" applyFont="1" applyFill="1" applyBorder="1" applyAlignment="1">
      <alignment horizontal="center"/>
    </xf>
    <xf numFmtId="9" fontId="2" fillId="3" borderId="48" xfId="37" applyNumberFormat="1" applyFont="1" applyFill="1" applyBorder="1" applyAlignment="1">
      <alignment horizontal="center"/>
    </xf>
    <xf numFmtId="167" fontId="2" fillId="3" borderId="45" xfId="37" applyNumberFormat="1" applyFont="1" applyFill="1" applyBorder="1" applyAlignment="1">
      <alignment horizontal="center"/>
    </xf>
    <xf numFmtId="167" fontId="9" fillId="0" borderId="46" xfId="37" applyNumberFormat="1" applyFont="1" applyFill="1" applyBorder="1" applyAlignment="1">
      <alignment horizontal="center"/>
    </xf>
    <xf numFmtId="166" fontId="9" fillId="0" borderId="45" xfId="62" applyNumberFormat="1" applyFont="1" applyFill="1" applyBorder="1" applyAlignment="1">
      <alignment horizontal="center"/>
    </xf>
    <xf numFmtId="166" fontId="9" fillId="0" borderId="48" xfId="62" applyNumberFormat="1" applyFont="1" applyFill="1" applyBorder="1" applyAlignment="1">
      <alignment horizontal="center"/>
    </xf>
    <xf numFmtId="166" fontId="9" fillId="0" borderId="49" xfId="62" applyNumberFormat="1" applyFont="1" applyFill="1" applyBorder="1" applyAlignment="1">
      <alignment horizontal="center"/>
    </xf>
    <xf numFmtId="166" fontId="9" fillId="3" borderId="44" xfId="62" applyNumberFormat="1" applyFont="1" applyFill="1" applyBorder="1" applyAlignment="1">
      <alignment horizontal="center"/>
    </xf>
    <xf numFmtId="166" fontId="9" fillId="0" borderId="44" xfId="62" applyNumberFormat="1" applyFont="1" applyFill="1" applyBorder="1" applyAlignment="1">
      <alignment horizontal="center"/>
    </xf>
    <xf numFmtId="0" fontId="9" fillId="0" borderId="43" xfId="62" applyFont="1" applyFill="1" applyBorder="1" applyAlignment="1">
      <alignment horizontal="center"/>
    </xf>
    <xf numFmtId="166" fontId="9" fillId="3" borderId="50" xfId="62" applyNumberFormat="1" applyFont="1" applyFill="1" applyBorder="1" applyAlignment="1">
      <alignment horizontal="center"/>
    </xf>
    <xf numFmtId="2" fontId="9" fillId="0" borderId="32" xfId="62" applyNumberFormat="1" applyFont="1" applyFill="1" applyBorder="1" applyAlignment="1">
      <alignment horizontal="center"/>
    </xf>
    <xf numFmtId="2" fontId="9" fillId="3" borderId="25" xfId="62" applyNumberFormat="1" applyFont="1" applyFill="1" applyBorder="1" applyAlignment="1">
      <alignment horizontal="center"/>
    </xf>
    <xf numFmtId="166" fontId="9" fillId="3" borderId="24" xfId="62" applyNumberFormat="1" applyFont="1" applyFill="1" applyBorder="1" applyAlignment="1">
      <alignment horizontal="center"/>
    </xf>
    <xf numFmtId="2" fontId="9" fillId="3" borderId="5" xfId="62" applyNumberFormat="1" applyFont="1" applyFill="1" applyBorder="1" applyAlignment="1">
      <alignment horizontal="center"/>
    </xf>
    <xf numFmtId="2" fontId="9" fillId="0" borderId="43" xfId="62" applyNumberFormat="1" applyFont="1" applyFill="1" applyBorder="1" applyAlignment="1">
      <alignment horizontal="center"/>
    </xf>
    <xf numFmtId="166" fontId="9" fillId="3" borderId="51" xfId="62" applyNumberFormat="1" applyFont="1" applyFill="1" applyBorder="1" applyAlignment="1">
      <alignment horizontal="center"/>
    </xf>
    <xf numFmtId="166" fontId="9" fillId="3" borderId="40" xfId="62" applyNumberFormat="1" applyFont="1" applyFill="1" applyBorder="1" applyAlignment="1">
      <alignment horizontal="center"/>
    </xf>
    <xf numFmtId="165" fontId="9" fillId="0" borderId="46" xfId="62" applyNumberFormat="1" applyFont="1" applyFill="1" applyBorder="1" applyAlignment="1">
      <alignment horizontal="center"/>
    </xf>
    <xf numFmtId="166" fontId="9" fillId="3" borderId="47" xfId="62" applyNumberFormat="1" applyFont="1" applyFill="1" applyBorder="1" applyAlignment="1">
      <alignment horizontal="center"/>
    </xf>
    <xf numFmtId="0" fontId="9" fillId="3" borderId="52" xfId="62" applyFont="1" applyFill="1" applyBorder="1" applyAlignment="1">
      <alignment horizontal="center"/>
    </xf>
    <xf numFmtId="0" fontId="9" fillId="0" borderId="46" xfId="62" applyFont="1" applyFill="1" applyBorder="1" applyAlignment="1">
      <alignment horizontal="center"/>
    </xf>
    <xf numFmtId="167" fontId="9" fillId="0" borderId="46" xfId="62" applyNumberFormat="1" applyFont="1" applyFill="1" applyBorder="1" applyAlignment="1">
      <alignment horizontal="center"/>
    </xf>
    <xf numFmtId="0" fontId="12" fillId="0" borderId="53" xfId="62" applyFont="1" applyFill="1" applyBorder="1"/>
    <xf numFmtId="167" fontId="9" fillId="0" borderId="53" xfId="62" applyNumberFormat="1" applyFont="1" applyFill="1" applyBorder="1" applyAlignment="1">
      <alignment horizontal="center"/>
    </xf>
    <xf numFmtId="167" fontId="9" fillId="0" borderId="49" xfId="62" applyNumberFormat="1" applyFont="1" applyFill="1" applyBorder="1" applyAlignment="1">
      <alignment horizontal="center"/>
    </xf>
    <xf numFmtId="165" fontId="9" fillId="3" borderId="44" xfId="62" applyNumberFormat="1" applyFont="1" applyFill="1" applyBorder="1" applyAlignment="1">
      <alignment horizontal="center"/>
    </xf>
    <xf numFmtId="165" fontId="9" fillId="0" borderId="47" xfId="62" applyNumberFormat="1" applyFont="1" applyFill="1" applyBorder="1" applyAlignment="1">
      <alignment horizontal="center"/>
    </xf>
    <xf numFmtId="165" fontId="9" fillId="0" borderId="54" xfId="62" applyNumberFormat="1" applyFont="1" applyFill="1" applyBorder="1" applyAlignment="1">
      <alignment horizontal="center"/>
    </xf>
    <xf numFmtId="0" fontId="12" fillId="0" borderId="0" xfId="62" applyFont="1" applyFill="1" applyAlignment="1">
      <alignment horizontal="center"/>
    </xf>
    <xf numFmtId="165" fontId="9" fillId="0" borderId="32" xfId="62" applyNumberFormat="1" applyFont="1" applyFill="1" applyBorder="1" applyAlignment="1">
      <alignment horizontal="center"/>
    </xf>
    <xf numFmtId="2" fontId="9" fillId="3" borderId="50" xfId="62" applyNumberFormat="1" applyFont="1" applyFill="1" applyBorder="1" applyAlignment="1">
      <alignment horizontal="center"/>
    </xf>
    <xf numFmtId="0" fontId="9" fillId="3" borderId="25" xfId="62" applyFont="1" applyFill="1" applyBorder="1" applyAlignment="1">
      <alignment horizontal="center"/>
    </xf>
    <xf numFmtId="0" fontId="9" fillId="3" borderId="50" xfId="62" applyFont="1" applyFill="1" applyBorder="1" applyAlignment="1">
      <alignment horizontal="center"/>
    </xf>
    <xf numFmtId="0" fontId="12" fillId="0" borderId="24" xfId="62" applyFont="1" applyFill="1" applyBorder="1"/>
    <xf numFmtId="166" fontId="9" fillId="0" borderId="24" xfId="62" applyNumberFormat="1" applyFont="1" applyFill="1" applyBorder="1" applyAlignment="1">
      <alignment horizontal="center"/>
    </xf>
    <xf numFmtId="1" fontId="9" fillId="3" borderId="5" xfId="62" applyNumberFormat="1" applyFont="1" applyFill="1" applyBorder="1" applyAlignment="1">
      <alignment horizontal="center"/>
    </xf>
    <xf numFmtId="1" fontId="9" fillId="0" borderId="32" xfId="62" applyNumberFormat="1" applyFont="1" applyFill="1" applyBorder="1" applyAlignment="1">
      <alignment horizontal="center"/>
    </xf>
    <xf numFmtId="0" fontId="9" fillId="0" borderId="24" xfId="62" applyFont="1" applyFill="1" applyBorder="1"/>
    <xf numFmtId="49" fontId="9" fillId="0" borderId="0" xfId="62" applyNumberFormat="1" applyFont="1" applyFill="1" applyBorder="1" applyAlignment="1"/>
    <xf numFmtId="0" fontId="9" fillId="0" borderId="24" xfId="62" applyFont="1" applyFill="1" applyBorder="1" applyAlignment="1">
      <alignment horizontal="center"/>
    </xf>
    <xf numFmtId="0" fontId="2" fillId="0" borderId="24" xfId="62" applyFont="1" applyFill="1" applyBorder="1"/>
    <xf numFmtId="0" fontId="9" fillId="0" borderId="24" xfId="62" quotePrefix="1" applyNumberFormat="1" applyFont="1" applyFill="1" applyBorder="1" applyAlignment="1">
      <alignment horizontal="center"/>
    </xf>
    <xf numFmtId="0" fontId="9" fillId="0" borderId="9" xfId="62" quotePrefix="1" applyNumberFormat="1" applyFont="1" applyFill="1" applyBorder="1" applyAlignment="1">
      <alignment horizontal="center"/>
    </xf>
    <xf numFmtId="2" fontId="9" fillId="0" borderId="47" xfId="62" applyNumberFormat="1" applyFont="1" applyFill="1" applyBorder="1" applyAlignment="1">
      <alignment horizontal="center"/>
    </xf>
    <xf numFmtId="2" fontId="9" fillId="3" borderId="48" xfId="62" applyNumberFormat="1" applyFont="1" applyFill="1" applyBorder="1" applyAlignment="1">
      <alignment horizontal="center"/>
    </xf>
    <xf numFmtId="2" fontId="9" fillId="3" borderId="45" xfId="62" applyNumberFormat="1" applyFont="1" applyFill="1" applyBorder="1" applyAlignment="1">
      <alignment horizontal="center"/>
    </xf>
    <xf numFmtId="167" fontId="9" fillId="0" borderId="45" xfId="62" applyNumberFormat="1" applyFont="1" applyFill="1" applyBorder="1" applyAlignment="1">
      <alignment horizontal="center"/>
    </xf>
    <xf numFmtId="167" fontId="9" fillId="0" borderId="54" xfId="62" applyNumberFormat="1" applyFont="1" applyFill="1" applyBorder="1" applyAlignment="1">
      <alignment horizontal="center"/>
    </xf>
    <xf numFmtId="0" fontId="9" fillId="0" borderId="44" xfId="62" applyFont="1" applyFill="1" applyBorder="1" applyAlignment="1">
      <alignment horizontal="center"/>
    </xf>
    <xf numFmtId="0" fontId="9" fillId="0" borderId="21" xfId="62" applyFont="1" applyFill="1" applyBorder="1" applyAlignment="1">
      <alignment horizontal="center"/>
    </xf>
    <xf numFmtId="1" fontId="9" fillId="3" borderId="0" xfId="62" applyNumberFormat="1" applyFont="1" applyFill="1" applyBorder="1" applyAlignment="1">
      <alignment horizontal="center"/>
    </xf>
    <xf numFmtId="0" fontId="9" fillId="3" borderId="9" xfId="62" applyFont="1" applyFill="1" applyBorder="1" applyAlignment="1">
      <alignment horizontal="center"/>
    </xf>
    <xf numFmtId="166" fontId="9" fillId="0" borderId="8" xfId="62" applyNumberFormat="1" applyFont="1" applyFill="1" applyBorder="1" applyAlignment="1">
      <alignment horizontal="center"/>
    </xf>
    <xf numFmtId="166" fontId="9" fillId="3" borderId="36" xfId="62" applyNumberFormat="1" applyFont="1" applyFill="1" applyBorder="1" applyAlignment="1">
      <alignment horizontal="center"/>
    </xf>
    <xf numFmtId="166" fontId="9" fillId="3" borderId="7" xfId="62" applyNumberFormat="1" applyFont="1" applyFill="1" applyBorder="1" applyAlignment="1">
      <alignment horizontal="center"/>
    </xf>
    <xf numFmtId="166" fontId="9" fillId="3" borderId="8" xfId="62" applyNumberFormat="1" applyFont="1" applyFill="1" applyBorder="1" applyAlignment="1">
      <alignment horizontal="center"/>
    </xf>
    <xf numFmtId="0" fontId="9" fillId="3" borderId="36" xfId="62" applyFont="1" applyFill="1" applyBorder="1" applyAlignment="1">
      <alignment horizontal="center"/>
    </xf>
    <xf numFmtId="0" fontId="9" fillId="3" borderId="37" xfId="62" applyFont="1" applyFill="1" applyBorder="1" applyAlignment="1">
      <alignment horizontal="center"/>
    </xf>
    <xf numFmtId="0" fontId="9" fillId="0" borderId="34" xfId="62" applyFont="1" applyFill="1" applyBorder="1" applyAlignment="1">
      <alignment horizontal="center"/>
    </xf>
    <xf numFmtId="0" fontId="9" fillId="0" borderId="55" xfId="62" applyFont="1" applyFill="1" applyBorder="1" applyAlignment="1">
      <alignment horizontal="center"/>
    </xf>
    <xf numFmtId="166" fontId="9" fillId="0" borderId="55" xfId="62" applyNumberFormat="1" applyFont="1" applyFill="1" applyBorder="1" applyAlignment="1">
      <alignment horizontal="center"/>
    </xf>
    <xf numFmtId="166" fontId="9" fillId="0" borderId="37" xfId="62" applyNumberFormat="1" applyFont="1" applyFill="1" applyBorder="1" applyAlignment="1">
      <alignment horizontal="center"/>
    </xf>
    <xf numFmtId="1" fontId="9" fillId="3" borderId="7" xfId="62" applyNumberFormat="1" applyFont="1" applyFill="1" applyBorder="1" applyAlignment="1">
      <alignment horizontal="center"/>
    </xf>
    <xf numFmtId="1" fontId="9" fillId="0" borderId="34" xfId="62" applyNumberFormat="1" applyFont="1" applyFill="1" applyBorder="1" applyAlignment="1">
      <alignment horizontal="center"/>
    </xf>
    <xf numFmtId="49" fontId="9" fillId="0" borderId="0" xfId="62" applyNumberFormat="1" applyFont="1" applyFill="1"/>
    <xf numFmtId="0" fontId="0" fillId="0" borderId="0" xfId="0" applyAlignment="1">
      <alignment horizontal="center"/>
    </xf>
    <xf numFmtId="0" fontId="0" fillId="0" borderId="6" xfId="0" applyBorder="1"/>
    <xf numFmtId="0" fontId="0" fillId="0" borderId="5" xfId="0" applyBorder="1"/>
    <xf numFmtId="0" fontId="4" fillId="0" borderId="0" xfId="0" applyFont="1" applyFill="1" applyBorder="1" applyAlignment="1" applyProtection="1">
      <alignment horizontal="left" vertical="center"/>
    </xf>
    <xf numFmtId="0" fontId="4" fillId="0" borderId="0" xfId="0" applyFont="1"/>
    <xf numFmtId="0" fontId="0" fillId="0" borderId="0" xfId="0" applyBorder="1" applyAlignment="1">
      <alignment horizontal="center"/>
    </xf>
    <xf numFmtId="0" fontId="9" fillId="0" borderId="0" xfId="0" applyFont="1" applyBorder="1" applyAlignment="1" applyProtection="1">
      <alignment horizontal="center" vertical="center"/>
    </xf>
    <xf numFmtId="0" fontId="17" fillId="0" borderId="0" xfId="0" applyFont="1" applyBorder="1" applyAlignment="1" applyProtection="1">
      <alignment vertical="center"/>
    </xf>
    <xf numFmtId="0" fontId="2"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1" fontId="5" fillId="0" borderId="0" xfId="0" applyNumberFormat="1" applyFont="1" applyFill="1" applyBorder="1" applyAlignment="1" applyProtection="1">
      <alignment horizontal="center" vertical="center"/>
    </xf>
    <xf numFmtId="0" fontId="2" fillId="4" borderId="32" xfId="0" applyFont="1" applyFill="1" applyBorder="1" applyAlignment="1" applyProtection="1">
      <alignment horizontal="center" vertical="center"/>
    </xf>
    <xf numFmtId="0" fontId="9" fillId="0" borderId="44" xfId="0" applyFont="1" applyFill="1" applyBorder="1" applyAlignment="1" applyProtection="1">
      <alignment vertical="center"/>
    </xf>
    <xf numFmtId="0" fontId="9" fillId="0" borderId="56" xfId="0" applyFont="1" applyFill="1" applyBorder="1" applyAlignment="1" applyProtection="1">
      <alignment vertical="center"/>
    </xf>
    <xf numFmtId="0" fontId="9" fillId="0" borderId="57" xfId="0" applyFont="1" applyBorder="1" applyAlignment="1">
      <alignment horizontal="center"/>
    </xf>
    <xf numFmtId="0" fontId="0" fillId="0" borderId="3" xfId="0" applyBorder="1"/>
    <xf numFmtId="0" fontId="2" fillId="4" borderId="0" xfId="0" applyFont="1" applyFill="1" applyBorder="1" applyAlignment="1" applyProtection="1">
      <alignment horizontal="center" vertical="center"/>
    </xf>
    <xf numFmtId="166" fontId="9" fillId="0" borderId="50" xfId="62" applyNumberFormat="1" applyFont="1" applyFill="1" applyBorder="1" applyAlignment="1">
      <alignment horizontal="center"/>
    </xf>
    <xf numFmtId="0" fontId="9" fillId="0" borderId="50" xfId="0" applyFont="1" applyFill="1" applyBorder="1"/>
    <xf numFmtId="0" fontId="9" fillId="0" borderId="0" xfId="0" applyFont="1" applyFill="1" applyBorder="1"/>
    <xf numFmtId="0" fontId="9" fillId="0" borderId="24" xfId="0" applyFont="1" applyFill="1" applyBorder="1"/>
    <xf numFmtId="166" fontId="9" fillId="0" borderId="50" xfId="0" applyNumberFormat="1" applyFont="1" applyFill="1" applyBorder="1" applyAlignment="1">
      <alignment horizontal="center"/>
    </xf>
    <xf numFmtId="166" fontId="9" fillId="0" borderId="0" xfId="0" applyNumberFormat="1" applyFont="1" applyFill="1" applyBorder="1" applyAlignment="1">
      <alignment horizontal="center"/>
    </xf>
    <xf numFmtId="166" fontId="9" fillId="0" borderId="24" xfId="0" applyNumberFormat="1" applyFont="1" applyFill="1" applyBorder="1" applyAlignment="1">
      <alignment horizontal="center"/>
    </xf>
    <xf numFmtId="0" fontId="2" fillId="4" borderId="50" xfId="0" applyFont="1" applyFill="1" applyBorder="1" applyAlignment="1" applyProtection="1">
      <alignment horizontal="center" vertical="center"/>
    </xf>
    <xf numFmtId="0" fontId="2" fillId="4" borderId="2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0" fontId="2" fillId="0" borderId="7" xfId="0" applyFont="1" applyBorder="1"/>
    <xf numFmtId="0" fontId="2" fillId="0" borderId="30" xfId="0" applyFont="1"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33" xfId="0" applyFont="1" applyBorder="1" applyAlignment="1">
      <alignment horizontal="center"/>
    </xf>
    <xf numFmtId="0" fontId="2" fillId="0" borderId="32" xfId="0" applyFont="1" applyFill="1" applyBorder="1" applyAlignment="1">
      <alignment horizontal="center"/>
    </xf>
    <xf numFmtId="49" fontId="0" fillId="0" borderId="0" xfId="0" applyNumberFormat="1" applyFill="1" applyBorder="1" applyAlignment="1" applyProtection="1">
      <alignment horizontal="left" vertical="center"/>
    </xf>
    <xf numFmtId="0" fontId="0" fillId="0" borderId="24" xfId="0" applyFill="1" applyBorder="1" applyAlignment="1" applyProtection="1">
      <alignment horizontal="center" vertical="center"/>
    </xf>
    <xf numFmtId="0" fontId="0" fillId="2" borderId="0" xfId="0" applyFill="1" applyBorder="1" applyAlignment="1" applyProtection="1">
      <alignment horizontal="center" vertical="center"/>
    </xf>
    <xf numFmtId="0" fontId="2" fillId="0" borderId="8" xfId="0" applyFont="1" applyBorder="1" applyAlignment="1">
      <alignment horizontal="center"/>
    </xf>
    <xf numFmtId="0" fontId="2" fillId="0" borderId="36" xfId="0" applyFont="1" applyBorder="1" applyAlignment="1">
      <alignment horizontal="center"/>
    </xf>
    <xf numFmtId="0" fontId="9" fillId="45" borderId="58" xfId="0" applyFont="1" applyFill="1" applyBorder="1" applyAlignment="1" applyProtection="1">
      <alignment horizontal="center" vertical="center"/>
    </xf>
    <xf numFmtId="0" fontId="9" fillId="45" borderId="2" xfId="0" applyFont="1" applyFill="1" applyBorder="1" applyAlignment="1" applyProtection="1">
      <alignment horizontal="center" vertical="center"/>
    </xf>
    <xf numFmtId="0" fontId="9" fillId="45" borderId="16" xfId="0" applyFont="1" applyFill="1" applyBorder="1" applyAlignment="1" applyProtection="1">
      <alignment horizontal="center" vertical="center"/>
    </xf>
    <xf numFmtId="0" fontId="9" fillId="45" borderId="24" xfId="0" applyFont="1" applyFill="1" applyBorder="1" applyAlignment="1" applyProtection="1">
      <alignment horizontal="center" vertical="center"/>
    </xf>
    <xf numFmtId="0" fontId="9" fillId="45" borderId="0" xfId="0" applyFont="1" applyFill="1" applyBorder="1" applyAlignment="1" applyProtection="1">
      <alignment horizontal="center" vertical="center"/>
    </xf>
    <xf numFmtId="0" fontId="9" fillId="45" borderId="50" xfId="0" applyFont="1" applyFill="1" applyBorder="1" applyAlignment="1" applyProtection="1">
      <alignment horizontal="center" vertical="center"/>
    </xf>
    <xf numFmtId="164" fontId="9" fillId="0" borderId="31" xfId="62" applyNumberFormat="1" applyFont="1" applyFill="1" applyBorder="1" applyAlignment="1">
      <alignment horizontal="center"/>
    </xf>
    <xf numFmtId="164" fontId="9" fillId="0" borderId="9" xfId="62" applyNumberFormat="1" applyFont="1" applyFill="1" applyBorder="1" applyAlignment="1">
      <alignment horizontal="center"/>
    </xf>
    <xf numFmtId="0" fontId="9" fillId="0" borderId="50" xfId="0" applyFont="1" applyFill="1" applyBorder="1" applyAlignment="1" applyProtection="1">
      <alignment horizontal="center" vertical="center"/>
    </xf>
    <xf numFmtId="0" fontId="2" fillId="0" borderId="34" xfId="0" applyFont="1" applyBorder="1" applyAlignment="1">
      <alignment horizontal="center"/>
    </xf>
    <xf numFmtId="1" fontId="9" fillId="0" borderId="0" xfId="62" applyNumberFormat="1" applyFont="1" applyFill="1" applyBorder="1" applyAlignment="1">
      <alignment horizontal="center"/>
    </xf>
    <xf numFmtId="0" fontId="0" fillId="0" borderId="0" xfId="0" applyFill="1"/>
    <xf numFmtId="0" fontId="2" fillId="0" borderId="31" xfId="62" applyFont="1" applyFill="1" applyBorder="1" applyAlignment="1">
      <alignment horizontal="center"/>
    </xf>
    <xf numFmtId="0" fontId="2" fillId="0" borderId="29" xfId="62" applyFont="1" applyFill="1" applyBorder="1" applyAlignment="1">
      <alignment horizontal="center" vertical="center"/>
    </xf>
    <xf numFmtId="0" fontId="2" fillId="0" borderId="31" xfId="62" applyFont="1" applyFill="1" applyBorder="1" applyAlignment="1">
      <alignment horizontal="center" vertical="center"/>
    </xf>
    <xf numFmtId="0" fontId="9" fillId="0" borderId="10" xfId="62" applyFont="1" applyFill="1" applyBorder="1" applyAlignment="1">
      <alignment horizontal="center"/>
    </xf>
    <xf numFmtId="0" fontId="9" fillId="0" borderId="12" xfId="62" applyFont="1" applyFill="1" applyBorder="1" applyAlignment="1">
      <alignment horizontal="center"/>
    </xf>
    <xf numFmtId="166" fontId="9" fillId="0" borderId="59" xfId="62" applyNumberFormat="1" applyFont="1" applyFill="1" applyBorder="1" applyAlignment="1">
      <alignment horizontal="center"/>
    </xf>
    <xf numFmtId="166" fontId="9" fillId="0" borderId="35" xfId="62" applyNumberFormat="1" applyFont="1" applyFill="1" applyBorder="1" applyAlignment="1">
      <alignment horizontal="center"/>
    </xf>
    <xf numFmtId="166" fontId="9" fillId="0" borderId="33" xfId="62" applyNumberFormat="1" applyFont="1" applyFill="1" applyBorder="1" applyAlignment="1">
      <alignment horizontal="center"/>
    </xf>
    <xf numFmtId="164" fontId="9" fillId="0" borderId="0" xfId="62" applyNumberFormat="1" applyFont="1" applyFill="1" applyBorder="1" applyAlignment="1">
      <alignment horizontal="center"/>
    </xf>
    <xf numFmtId="166" fontId="9" fillId="0" borderId="58" xfId="62" applyNumberFormat="1" applyFont="1" applyFill="1" applyBorder="1" applyAlignment="1">
      <alignment horizontal="center"/>
    </xf>
    <xf numFmtId="166" fontId="9" fillId="0" borderId="51" xfId="62" applyNumberFormat="1" applyFont="1" applyFill="1" applyBorder="1" applyAlignment="1">
      <alignment horizontal="center"/>
    </xf>
    <xf numFmtId="164" fontId="9" fillId="0" borderId="50" xfId="62" applyNumberFormat="1" applyFont="1" applyFill="1" applyBorder="1" applyAlignment="1">
      <alignment horizontal="center"/>
    </xf>
    <xf numFmtId="0" fontId="9" fillId="0" borderId="50" xfId="62" quotePrefix="1" applyNumberFormat="1" applyFont="1" applyFill="1" applyBorder="1" applyAlignment="1">
      <alignment horizontal="center"/>
    </xf>
    <xf numFmtId="166" fontId="9" fillId="0" borderId="60" xfId="62" applyNumberFormat="1" applyFont="1" applyFill="1" applyBorder="1" applyAlignment="1">
      <alignment horizontal="center"/>
    </xf>
    <xf numFmtId="166" fontId="9" fillId="3" borderId="2" xfId="62" applyNumberFormat="1" applyFont="1" applyFill="1" applyBorder="1" applyAlignment="1">
      <alignment horizontal="center"/>
    </xf>
    <xf numFmtId="2" fontId="9" fillId="3" borderId="0" xfId="62" applyNumberFormat="1" applyFont="1" applyFill="1" applyBorder="1" applyAlignment="1">
      <alignment horizontal="center"/>
    </xf>
    <xf numFmtId="166" fontId="7" fillId="46" borderId="32" xfId="62" applyNumberFormat="1" applyFont="1" applyFill="1" applyBorder="1" applyAlignment="1">
      <alignment horizontal="center"/>
    </xf>
    <xf numFmtId="166" fontId="9" fillId="47" borderId="5" xfId="62" applyNumberFormat="1" applyFont="1" applyFill="1" applyBorder="1" applyAlignment="1">
      <alignment horizontal="center"/>
    </xf>
    <xf numFmtId="166" fontId="0" fillId="47" borderId="0" xfId="0" applyNumberFormat="1" applyFill="1" applyAlignment="1">
      <alignment horizontal="center" vertical="center"/>
    </xf>
    <xf numFmtId="1" fontId="9" fillId="0" borderId="5" xfId="62" applyNumberFormat="1" applyFont="1" applyFill="1" applyBorder="1" applyAlignment="1">
      <alignment horizontal="center"/>
    </xf>
    <xf numFmtId="1" fontId="9" fillId="0" borderId="6" xfId="62" applyNumberFormat="1" applyFont="1" applyFill="1" applyBorder="1" applyAlignment="1">
      <alignment horizontal="center"/>
    </xf>
    <xf numFmtId="0" fontId="12" fillId="0" borderId="0" xfId="0" applyFont="1" applyAlignment="1" applyProtection="1">
      <alignment horizontal="center"/>
      <protection locked="0"/>
    </xf>
    <xf numFmtId="0" fontId="12" fillId="47" borderId="0" xfId="0" applyFont="1" applyFill="1" applyAlignment="1" applyProtection="1">
      <alignment horizontal="center"/>
      <protection locked="0"/>
    </xf>
    <xf numFmtId="0" fontId="2" fillId="0" borderId="0" xfId="0" applyFont="1" applyBorder="1" applyAlignment="1">
      <alignment horizontal="center"/>
    </xf>
    <xf numFmtId="0" fontId="29" fillId="0" borderId="0" xfId="42" applyFont="1" applyFill="1" applyProtection="1"/>
    <xf numFmtId="0" fontId="29" fillId="0" borderId="0" xfId="42" applyFont="1" applyFill="1" applyBorder="1" applyAlignment="1" applyProtection="1">
      <alignment horizontal="center"/>
    </xf>
    <xf numFmtId="0" fontId="29" fillId="0" borderId="0" xfId="42" applyFont="1" applyAlignment="1" applyProtection="1">
      <alignment horizontal="left"/>
    </xf>
    <xf numFmtId="0" fontId="29" fillId="0" borderId="0" xfId="42" applyFont="1" applyFill="1" applyBorder="1" applyProtection="1"/>
    <xf numFmtId="1" fontId="29" fillId="0" borderId="0" xfId="42" applyNumberFormat="1" applyFont="1" applyFill="1" applyBorder="1" applyAlignment="1" applyProtection="1">
      <alignment horizontal="center"/>
    </xf>
    <xf numFmtId="0" fontId="13" fillId="0" borderId="0" xfId="42" applyFont="1" applyFill="1" applyBorder="1" applyAlignment="1" applyProtection="1">
      <alignment vertical="center"/>
    </xf>
    <xf numFmtId="0" fontId="29" fillId="0" borderId="0" xfId="42" applyNumberFormat="1" applyFont="1" applyBorder="1" applyAlignment="1" applyProtection="1">
      <alignment horizontal="center"/>
    </xf>
    <xf numFmtId="166" fontId="29" fillId="0" borderId="0" xfId="42" applyNumberFormat="1" applyFont="1" applyFill="1" applyBorder="1" applyAlignment="1" applyProtection="1">
      <alignment horizontal="center"/>
    </xf>
    <xf numFmtId="0" fontId="9" fillId="0" borderId="0" xfId="42" applyFont="1" applyFill="1" applyBorder="1" applyAlignment="1" applyProtection="1">
      <alignment horizontal="center"/>
    </xf>
    <xf numFmtId="1" fontId="9" fillId="0" borderId="0" xfId="42" applyNumberFormat="1" applyFont="1" applyFill="1" applyBorder="1" applyAlignment="1" applyProtection="1">
      <alignment horizontal="center"/>
    </xf>
    <xf numFmtId="0" fontId="0" fillId="2" borderId="13" xfId="0"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14" fontId="0" fillId="0" borderId="0" xfId="0" applyNumberFormat="1"/>
    <xf numFmtId="0" fontId="0" fillId="48" borderId="0" xfId="0" applyFill="1"/>
    <xf numFmtId="0" fontId="0" fillId="49" borderId="0" xfId="0" applyFill="1"/>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1" fontId="9"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12"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3" fillId="0" borderId="0" xfId="0" applyFont="1" applyBorder="1" applyAlignment="1" applyProtection="1">
      <alignment horizontal="center" vertical="center"/>
      <protection hidden="1"/>
    </xf>
    <xf numFmtId="0" fontId="2" fillId="50" borderId="3" xfId="0" applyFont="1" applyFill="1" applyBorder="1" applyAlignment="1" applyProtection="1">
      <alignment vertical="center"/>
    </xf>
    <xf numFmtId="0" fontId="2" fillId="50" borderId="25" xfId="0" applyFont="1" applyFill="1" applyBorder="1" applyAlignment="1" applyProtection="1">
      <alignment horizontal="center" vertical="center"/>
    </xf>
    <xf numFmtId="0" fontId="0" fillId="50" borderId="25" xfId="0" applyFill="1" applyBorder="1" applyAlignment="1" applyProtection="1">
      <alignment horizontal="center" vertical="center"/>
    </xf>
    <xf numFmtId="0" fontId="9" fillId="50" borderId="61" xfId="0" applyFont="1" applyFill="1" applyBorder="1" applyAlignment="1" applyProtection="1">
      <alignment horizontal="center" vertical="center"/>
    </xf>
    <xf numFmtId="0" fontId="5" fillId="50" borderId="24" xfId="0" applyFont="1" applyFill="1" applyBorder="1" applyAlignment="1" applyProtection="1">
      <alignment horizontal="center" vertical="center"/>
    </xf>
    <xf numFmtId="0" fontId="5" fillId="50" borderId="23" xfId="0" applyFont="1" applyFill="1" applyBorder="1" applyAlignment="1" applyProtection="1">
      <alignment horizontal="center" vertical="center"/>
    </xf>
    <xf numFmtId="0" fontId="5" fillId="50" borderId="0" xfId="0" applyFont="1" applyFill="1" applyBorder="1" applyAlignment="1" applyProtection="1">
      <alignment horizontal="center" vertical="center"/>
    </xf>
    <xf numFmtId="0" fontId="0" fillId="50" borderId="36" xfId="0" applyFill="1" applyBorder="1" applyAlignment="1" applyProtection="1">
      <alignment horizontal="center" vertical="center"/>
    </xf>
    <xf numFmtId="0" fontId="0" fillId="50" borderId="62" xfId="0" applyFill="1" applyBorder="1" applyAlignment="1" applyProtection="1">
      <alignment horizontal="center" vertical="center"/>
    </xf>
    <xf numFmtId="0" fontId="5" fillId="50" borderId="55" xfId="0" applyFont="1" applyFill="1" applyBorder="1" applyAlignment="1" applyProtection="1">
      <alignment horizontal="center" vertical="center"/>
    </xf>
    <xf numFmtId="0" fontId="2" fillId="50" borderId="63" xfId="0" applyFont="1" applyFill="1" applyBorder="1" applyAlignment="1" applyProtection="1">
      <alignment vertical="center"/>
    </xf>
    <xf numFmtId="0" fontId="4" fillId="50" borderId="64" xfId="0" applyFont="1" applyFill="1" applyBorder="1" applyAlignment="1" applyProtection="1">
      <alignment vertical="center"/>
    </xf>
    <xf numFmtId="0" fontId="4" fillId="50" borderId="63" xfId="0" applyFont="1" applyFill="1" applyBorder="1" applyAlignment="1" applyProtection="1">
      <alignment vertical="center"/>
    </xf>
    <xf numFmtId="0" fontId="4" fillId="50" borderId="63" xfId="0" applyFont="1" applyFill="1" applyBorder="1" applyAlignment="1" applyProtection="1">
      <alignment horizontal="center" vertical="center"/>
    </xf>
    <xf numFmtId="0" fontId="2" fillId="2" borderId="65" xfId="0" applyFont="1" applyFill="1" applyBorder="1" applyAlignment="1" applyProtection="1">
      <alignment horizontal="center" vertical="center"/>
      <protection locked="0"/>
    </xf>
    <xf numFmtId="0" fontId="2" fillId="2" borderId="66" xfId="0" applyFont="1" applyFill="1" applyBorder="1" applyAlignment="1" applyProtection="1">
      <alignment horizontal="center" vertical="center"/>
      <protection locked="0"/>
    </xf>
    <xf numFmtId="0" fontId="2" fillId="2" borderId="67"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70" xfId="0" applyFont="1" applyFill="1" applyBorder="1" applyAlignment="1" applyProtection="1">
      <alignment horizontal="center" vertical="center"/>
      <protection locked="0"/>
    </xf>
    <xf numFmtId="0" fontId="9" fillId="0" borderId="0" xfId="0" applyFont="1" applyAlignment="1" applyProtection="1">
      <alignment vertical="center"/>
    </xf>
    <xf numFmtId="0" fontId="2" fillId="2" borderId="71"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2" fillId="0" borderId="75" xfId="0" applyFont="1" applyBorder="1" applyAlignment="1">
      <alignment horizontal="center"/>
    </xf>
    <xf numFmtId="0" fontId="2" fillId="0" borderId="76" xfId="0" applyFont="1" applyBorder="1" applyAlignment="1">
      <alignment horizontal="center"/>
    </xf>
    <xf numFmtId="49" fontId="2" fillId="51" borderId="0" xfId="62" applyNumberFormat="1" applyFont="1" applyFill="1"/>
    <xf numFmtId="0" fontId="2" fillId="2" borderId="77" xfId="0" applyFont="1" applyFill="1" applyBorder="1" applyAlignment="1" applyProtection="1">
      <alignment horizontal="center" vertical="center"/>
      <protection locked="0"/>
    </xf>
    <xf numFmtId="0" fontId="2" fillId="2" borderId="78"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0" borderId="0" xfId="0" applyFont="1" applyFill="1" applyAlignment="1" applyProtection="1">
      <alignment vertical="center"/>
      <protection hidden="1"/>
    </xf>
    <xf numFmtId="0" fontId="9" fillId="0" borderId="0" xfId="0" applyFont="1" applyFill="1" applyAlignment="1" applyProtection="1">
      <alignment horizontal="center" vertical="center"/>
    </xf>
    <xf numFmtId="0" fontId="0" fillId="0" borderId="0" xfId="0" applyFill="1" applyAlignment="1" applyProtection="1">
      <alignment vertical="center"/>
      <protection hidden="1"/>
    </xf>
    <xf numFmtId="0" fontId="81" fillId="0" borderId="0" xfId="0" applyFont="1"/>
    <xf numFmtId="0" fontId="81" fillId="0" borderId="0" xfId="0" applyFont="1" applyAlignment="1">
      <alignment horizontal="center"/>
    </xf>
    <xf numFmtId="0" fontId="2" fillId="0" borderId="64" xfId="0" applyFont="1" applyBorder="1" applyAlignment="1">
      <alignment horizontal="center"/>
    </xf>
    <xf numFmtId="0" fontId="2" fillId="0" borderId="57" xfId="0" applyFont="1" applyBorder="1" applyAlignment="1">
      <alignment horizontal="center"/>
    </xf>
    <xf numFmtId="0" fontId="0" fillId="0" borderId="0" xfId="0" applyProtection="1"/>
    <xf numFmtId="0" fontId="54" fillId="0" borderId="0" xfId="42" applyProtection="1"/>
    <xf numFmtId="0" fontId="9" fillId="0" borderId="50" xfId="0" applyFont="1" applyFill="1" applyBorder="1" applyAlignment="1">
      <alignment horizontal="center"/>
    </xf>
    <xf numFmtId="0" fontId="9" fillId="0" borderId="0" xfId="0" applyFont="1" applyFill="1" applyBorder="1" applyAlignment="1">
      <alignment horizontal="center"/>
    </xf>
    <xf numFmtId="0" fontId="9" fillId="0" borderId="24" xfId="0" applyFont="1" applyFill="1" applyBorder="1" applyAlignment="1">
      <alignment horizontal="center"/>
    </xf>
    <xf numFmtId="166" fontId="9" fillId="47" borderId="50" xfId="0" applyNumberFormat="1" applyFont="1" applyFill="1" applyBorder="1" applyAlignment="1">
      <alignment horizontal="center"/>
    </xf>
    <xf numFmtId="166" fontId="9" fillId="0" borderId="25" xfId="0" applyNumberFormat="1" applyFont="1" applyFill="1" applyBorder="1" applyAlignment="1">
      <alignment horizontal="center"/>
    </xf>
    <xf numFmtId="0" fontId="12" fillId="47" borderId="25" xfId="0" applyFont="1" applyFill="1" applyBorder="1" applyAlignment="1" applyProtection="1">
      <alignment horizontal="center"/>
      <protection locked="0"/>
    </xf>
    <xf numFmtId="0" fontId="12" fillId="47" borderId="24" xfId="0" applyFont="1" applyFill="1" applyBorder="1" applyAlignment="1" applyProtection="1">
      <alignment horizontal="center"/>
      <protection locked="0"/>
    </xf>
    <xf numFmtId="166" fontId="0" fillId="47" borderId="0" xfId="0" applyNumberFormat="1" applyFill="1" applyBorder="1" applyAlignment="1">
      <alignment horizontal="center" vertical="center"/>
    </xf>
    <xf numFmtId="166" fontId="0" fillId="47" borderId="24" xfId="0" applyNumberFormat="1" applyFill="1" applyBorder="1" applyAlignment="1">
      <alignment horizontal="center" vertical="center"/>
    </xf>
    <xf numFmtId="166" fontId="9" fillId="47" borderId="25" xfId="0" applyNumberFormat="1" applyFont="1" applyFill="1" applyBorder="1" applyAlignment="1">
      <alignment horizontal="center"/>
    </xf>
    <xf numFmtId="0" fontId="12" fillId="47" borderId="50" xfId="0" applyFont="1" applyFill="1" applyBorder="1" applyAlignment="1" applyProtection="1">
      <alignment horizontal="center"/>
      <protection locked="0"/>
    </xf>
    <xf numFmtId="166" fontId="0" fillId="47" borderId="50" xfId="0" applyNumberFormat="1" applyFill="1" applyBorder="1" applyAlignment="1">
      <alignment horizontal="center" vertical="center"/>
    </xf>
    <xf numFmtId="166" fontId="9" fillId="2" borderId="84" xfId="0" applyNumberFormat="1" applyFont="1" applyFill="1" applyBorder="1" applyAlignment="1" applyProtection="1">
      <alignment horizontal="center" vertical="center"/>
      <protection locked="0"/>
    </xf>
    <xf numFmtId="166" fontId="9" fillId="52" borderId="85" xfId="0" applyNumberFormat="1" applyFont="1" applyFill="1" applyBorder="1" applyAlignment="1" applyProtection="1">
      <alignment horizontal="center" vertical="center"/>
      <protection locked="0"/>
    </xf>
    <xf numFmtId="166" fontId="9" fillId="2" borderId="65" xfId="0" applyNumberFormat="1" applyFont="1" applyFill="1" applyBorder="1" applyAlignment="1" applyProtection="1">
      <alignment horizontal="center" vertical="center"/>
      <protection locked="0"/>
    </xf>
    <xf numFmtId="166" fontId="0" fillId="2" borderId="86" xfId="0" applyNumberFormat="1" applyFill="1" applyBorder="1" applyAlignment="1" applyProtection="1">
      <alignment horizontal="center" vertical="center"/>
      <protection locked="0"/>
    </xf>
    <xf numFmtId="166" fontId="0" fillId="2" borderId="87" xfId="0" applyNumberFormat="1" applyFill="1" applyBorder="1" applyAlignment="1" applyProtection="1">
      <alignment horizontal="center" vertical="center"/>
      <protection locked="0"/>
    </xf>
    <xf numFmtId="166" fontId="0" fillId="2" borderId="85" xfId="0" applyNumberFormat="1" applyFill="1" applyBorder="1" applyAlignment="1" applyProtection="1">
      <alignment horizontal="center" vertical="center"/>
      <protection locked="0"/>
    </xf>
    <xf numFmtId="166" fontId="0" fillId="2" borderId="65" xfId="0" applyNumberFormat="1" applyFill="1" applyBorder="1" applyAlignment="1" applyProtection="1">
      <alignment horizontal="center" vertical="center"/>
      <protection locked="0"/>
    </xf>
    <xf numFmtId="166" fontId="0" fillId="2" borderId="88" xfId="0" applyNumberFormat="1" applyFill="1" applyBorder="1" applyAlignment="1" applyProtection="1">
      <alignment horizontal="center" vertical="center"/>
      <protection locked="0"/>
    </xf>
    <xf numFmtId="166" fontId="0" fillId="2" borderId="84" xfId="0" applyNumberFormat="1" applyFill="1" applyBorder="1" applyAlignment="1" applyProtection="1">
      <alignment horizontal="center" vertical="center"/>
      <protection locked="0"/>
    </xf>
    <xf numFmtId="166" fontId="9" fillId="2" borderId="89" xfId="0" applyNumberFormat="1" applyFont="1" applyFill="1" applyBorder="1" applyAlignment="1" applyProtection="1">
      <alignment horizontal="center" vertical="center"/>
      <protection locked="0"/>
    </xf>
    <xf numFmtId="166" fontId="9" fillId="52" borderId="90" xfId="0" applyNumberFormat="1" applyFont="1" applyFill="1" applyBorder="1" applyAlignment="1" applyProtection="1">
      <alignment horizontal="center" vertical="center"/>
      <protection locked="0"/>
    </xf>
    <xf numFmtId="166" fontId="9" fillId="2" borderId="66" xfId="0" applyNumberFormat="1" applyFont="1" applyFill="1" applyBorder="1" applyAlignment="1" applyProtection="1">
      <alignment horizontal="center" vertical="center"/>
      <protection locked="0"/>
    </xf>
    <xf numFmtId="166" fontId="0" fillId="2" borderId="91" xfId="0" applyNumberFormat="1" applyFill="1" applyBorder="1" applyAlignment="1" applyProtection="1">
      <alignment horizontal="center" vertical="center"/>
      <protection locked="0"/>
    </xf>
    <xf numFmtId="166" fontId="9" fillId="2" borderId="92" xfId="0" applyNumberFormat="1" applyFont="1" applyFill="1" applyBorder="1" applyAlignment="1" applyProtection="1">
      <alignment horizontal="center" vertical="center"/>
      <protection locked="0"/>
    </xf>
    <xf numFmtId="166" fontId="0" fillId="2" borderId="90" xfId="0" applyNumberFormat="1" applyFill="1" applyBorder="1" applyAlignment="1" applyProtection="1">
      <alignment horizontal="center" vertical="center"/>
      <protection locked="0"/>
    </xf>
    <xf numFmtId="166" fontId="0" fillId="2" borderId="66" xfId="0" applyNumberFormat="1" applyFill="1" applyBorder="1" applyAlignment="1" applyProtection="1">
      <alignment horizontal="center" vertical="center"/>
      <protection locked="0"/>
    </xf>
    <xf numFmtId="166" fontId="0" fillId="2" borderId="93" xfId="0" applyNumberFormat="1" applyFill="1" applyBorder="1" applyAlignment="1" applyProtection="1">
      <alignment horizontal="center" vertical="center"/>
      <protection locked="0"/>
    </xf>
    <xf numFmtId="166" fontId="0" fillId="2" borderId="89" xfId="0" applyNumberFormat="1" applyFill="1" applyBorder="1" applyAlignment="1" applyProtection="1">
      <alignment horizontal="center" vertical="center"/>
      <protection locked="0"/>
    </xf>
    <xf numFmtId="0" fontId="9" fillId="0" borderId="45" xfId="42" applyFont="1" applyFill="1" applyBorder="1" applyAlignment="1" applyProtection="1">
      <alignment vertical="center"/>
    </xf>
    <xf numFmtId="0" fontId="2" fillId="52" borderId="94" xfId="0" applyFont="1" applyFill="1" applyBorder="1" applyAlignment="1" applyProtection="1">
      <alignment horizontal="center" vertical="center"/>
      <protection locked="0"/>
    </xf>
    <xf numFmtId="0" fontId="2" fillId="52" borderId="95" xfId="42" applyFont="1" applyFill="1" applyBorder="1" applyAlignment="1" applyProtection="1">
      <alignment horizontal="center"/>
      <protection locked="0"/>
    </xf>
    <xf numFmtId="0" fontId="5" fillId="0" borderId="64" xfId="0" applyFont="1" applyBorder="1" applyAlignment="1" applyProtection="1">
      <alignment vertical="center"/>
    </xf>
    <xf numFmtId="0" fontId="5" fillId="0" borderId="63" xfId="0" applyFont="1" applyBorder="1" applyAlignment="1" applyProtection="1">
      <alignment vertical="center"/>
    </xf>
    <xf numFmtId="0" fontId="5" fillId="0" borderId="63" xfId="0" applyFont="1" applyBorder="1" applyAlignment="1" applyProtection="1">
      <alignment horizontal="center" vertical="center"/>
    </xf>
    <xf numFmtId="0" fontId="5" fillId="0" borderId="64" xfId="0" applyFont="1" applyFill="1" applyBorder="1" applyAlignment="1" applyProtection="1">
      <alignment vertical="center"/>
    </xf>
    <xf numFmtId="0" fontId="9" fillId="0" borderId="64" xfId="42" applyNumberFormat="1" applyFont="1" applyBorder="1" applyAlignment="1" applyProtection="1">
      <alignment horizontal="center"/>
      <protection hidden="1"/>
    </xf>
    <xf numFmtId="1" fontId="9" fillId="0" borderId="49" xfId="42" applyNumberFormat="1" applyFont="1" applyFill="1" applyBorder="1" applyAlignment="1" applyProtection="1">
      <alignment horizontal="center" vertical="center"/>
      <protection hidden="1"/>
    </xf>
    <xf numFmtId="2" fontId="9" fillId="0" borderId="37" xfId="42" applyNumberFormat="1" applyFont="1" applyFill="1" applyBorder="1" applyAlignment="1" applyProtection="1">
      <alignment horizontal="center" vertical="center"/>
      <protection hidden="1"/>
    </xf>
    <xf numFmtId="49" fontId="0" fillId="0" borderId="0" xfId="0" applyNumberFormat="1" applyFill="1" applyBorder="1" applyAlignment="1" applyProtection="1">
      <alignment horizontal="left" vertical="center"/>
      <protection hidden="1"/>
    </xf>
    <xf numFmtId="0" fontId="28" fillId="0" borderId="0" xfId="0" applyFont="1" applyProtection="1">
      <protection hidden="1"/>
    </xf>
    <xf numFmtId="0" fontId="82" fillId="0" borderId="0" xfId="0" applyFont="1" applyAlignment="1" applyProtection="1">
      <alignment vertical="center"/>
      <protection hidden="1"/>
    </xf>
    <xf numFmtId="0" fontId="5" fillId="0" borderId="0" xfId="0" applyFont="1" applyBorder="1" applyAlignment="1" applyProtection="1">
      <alignment vertical="center"/>
    </xf>
    <xf numFmtId="0" fontId="12" fillId="0" borderId="0" xfId="0" applyFont="1" applyFill="1" applyAlignment="1" applyProtection="1">
      <alignment horizontal="center"/>
      <protection locked="0"/>
    </xf>
    <xf numFmtId="166" fontId="0" fillId="0" borderId="0" xfId="0" applyNumberFormat="1" applyFill="1" applyAlignment="1">
      <alignment horizontal="center" vertical="center"/>
    </xf>
    <xf numFmtId="166" fontId="9" fillId="49" borderId="43" xfId="62" applyNumberFormat="1" applyFont="1" applyFill="1" applyBorder="1" applyAlignment="1">
      <alignment horizontal="center"/>
    </xf>
    <xf numFmtId="2" fontId="9" fillId="45" borderId="50" xfId="0" applyNumberFormat="1" applyFont="1" applyFill="1" applyBorder="1" applyAlignment="1" applyProtection="1">
      <alignment horizontal="center" vertical="center"/>
    </xf>
    <xf numFmtId="166" fontId="9" fillId="49" borderId="50" xfId="0" applyNumberFormat="1" applyFont="1" applyFill="1" applyBorder="1" applyAlignment="1">
      <alignment horizontal="center"/>
    </xf>
    <xf numFmtId="166" fontId="9" fillId="49" borderId="0" xfId="0" applyNumberFormat="1" applyFont="1" applyFill="1" applyBorder="1" applyAlignment="1">
      <alignment horizontal="center"/>
    </xf>
    <xf numFmtId="166" fontId="9" fillId="49" borderId="24" xfId="0" applyNumberFormat="1" applyFont="1" applyFill="1" applyBorder="1" applyAlignment="1">
      <alignment horizontal="center"/>
    </xf>
    <xf numFmtId="0" fontId="82"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1" fontId="2" fillId="0" borderId="0" xfId="0" applyNumberFormat="1" applyFont="1" applyBorder="1" applyAlignment="1" applyProtection="1">
      <alignment horizontal="center" vertical="center"/>
      <protection hidden="1"/>
    </xf>
    <xf numFmtId="166" fontId="5" fillId="0" borderId="0" xfId="0" applyNumberFormat="1" applyFont="1" applyBorder="1" applyAlignment="1" applyProtection="1">
      <alignment horizontal="left" vertical="center"/>
      <protection hidden="1"/>
    </xf>
    <xf numFmtId="0" fontId="2" fillId="2" borderId="96" xfId="0" applyFont="1" applyFill="1" applyBorder="1" applyAlignment="1" applyProtection="1">
      <alignment horizontal="center" vertical="center"/>
      <protection locked="0"/>
    </xf>
    <xf numFmtId="0" fontId="0" fillId="0" borderId="0" xfId="0" applyAlignment="1" applyProtection="1">
      <alignment vertical="center"/>
      <protection locked="0" hidden="1"/>
    </xf>
    <xf numFmtId="0" fontId="0" fillId="0" borderId="0" xfId="0" applyFill="1" applyAlignment="1" applyProtection="1">
      <alignment vertical="center"/>
      <protection locked="0" hidden="1"/>
    </xf>
    <xf numFmtId="0" fontId="83" fillId="0" borderId="0" xfId="0" applyFont="1" applyAlignment="1" applyProtection="1">
      <alignment vertical="center"/>
      <protection hidden="1"/>
    </xf>
    <xf numFmtId="0" fontId="0" fillId="0" borderId="57" xfId="0" applyBorder="1" applyAlignment="1" applyProtection="1">
      <alignment vertical="center"/>
      <protection locked="0" hidden="1"/>
    </xf>
    <xf numFmtId="0" fontId="9" fillId="0" borderId="1" xfId="0" applyFont="1" applyBorder="1" applyAlignment="1" applyProtection="1">
      <alignment vertical="center"/>
      <protection locked="0" hidden="1"/>
    </xf>
    <xf numFmtId="2" fontId="0" fillId="0" borderId="0" xfId="0" applyNumberFormat="1" applyAlignment="1" applyProtection="1">
      <alignment vertical="center"/>
      <protection locked="0" hidden="1"/>
    </xf>
    <xf numFmtId="0" fontId="0" fillId="0" borderId="0" xfId="0" applyFill="1" applyBorder="1" applyAlignment="1" applyProtection="1">
      <alignment vertical="center"/>
      <protection locked="0" hidden="1"/>
    </xf>
    <xf numFmtId="0" fontId="13" fillId="0" borderId="0" xfId="0" applyFont="1" applyAlignment="1" applyProtection="1">
      <alignment vertical="center"/>
      <protection locked="0" hidden="1"/>
    </xf>
    <xf numFmtId="0" fontId="13" fillId="0" borderId="0" xfId="0" applyFont="1" applyFill="1" applyAlignment="1" applyProtection="1">
      <alignment vertical="center"/>
      <protection locked="0" hidden="1"/>
    </xf>
    <xf numFmtId="0" fontId="12" fillId="0" borderId="0" xfId="0" applyFont="1" applyAlignment="1" applyProtection="1">
      <alignment vertical="center"/>
      <protection locked="0" hidden="1"/>
    </xf>
    <xf numFmtId="0" fontId="12" fillId="0" borderId="0" xfId="0" applyFont="1" applyFill="1" applyAlignment="1" applyProtection="1">
      <alignment vertical="center"/>
      <protection locked="0" hidden="1"/>
    </xf>
    <xf numFmtId="0" fontId="0" fillId="0" borderId="0" xfId="0" applyFill="1" applyBorder="1" applyAlignment="1" applyProtection="1">
      <alignment horizontal="center" vertical="center"/>
      <protection locked="0" hidden="1"/>
    </xf>
    <xf numFmtId="0" fontId="9" fillId="0" borderId="0" xfId="0" applyFont="1" applyFill="1" applyBorder="1" applyAlignment="1" applyProtection="1">
      <alignment horizontal="center" vertical="center"/>
      <protection locked="0" hidden="1"/>
    </xf>
    <xf numFmtId="0" fontId="2" fillId="0" borderId="0" xfId="0" applyFont="1" applyFill="1" applyBorder="1" applyAlignment="1" applyProtection="1">
      <alignment horizontal="left" vertical="center"/>
      <protection locked="0" hidden="1"/>
    </xf>
    <xf numFmtId="0" fontId="2" fillId="0" borderId="0" xfId="0" applyFont="1" applyFill="1" applyBorder="1" applyAlignment="1" applyProtection="1">
      <alignment horizontal="center" vertical="center"/>
      <protection locked="0" hidden="1"/>
    </xf>
    <xf numFmtId="0" fontId="9" fillId="0" borderId="24" xfId="0" applyFont="1" applyFill="1" applyBorder="1" applyAlignment="1" applyProtection="1">
      <alignment horizontal="center" vertical="center"/>
      <protection locked="0" hidden="1"/>
    </xf>
    <xf numFmtId="0" fontId="9" fillId="0" borderId="51" xfId="0" applyFont="1" applyFill="1" applyBorder="1" applyAlignment="1" applyProtection="1">
      <alignment horizontal="center" vertical="center"/>
      <protection locked="0" hidden="1"/>
    </xf>
    <xf numFmtId="0" fontId="9" fillId="0" borderId="13" xfId="0" applyFont="1" applyFill="1" applyBorder="1" applyAlignment="1" applyProtection="1">
      <alignment horizontal="center" vertical="center"/>
      <protection locked="0" hidden="1"/>
    </xf>
    <xf numFmtId="0" fontId="9" fillId="0" borderId="21" xfId="0" applyFont="1" applyFill="1" applyBorder="1" applyAlignment="1" applyProtection="1">
      <alignment horizontal="center" vertical="center"/>
      <protection locked="0" hidden="1"/>
    </xf>
    <xf numFmtId="0" fontId="9" fillId="53" borderId="13" xfId="0" applyFont="1" applyFill="1" applyBorder="1" applyAlignment="1" applyProtection="1">
      <alignment horizontal="center" vertical="center"/>
      <protection locked="0" hidden="1"/>
    </xf>
    <xf numFmtId="0" fontId="0" fillId="0" borderId="21" xfId="0" applyFill="1" applyBorder="1" applyAlignment="1" applyProtection="1">
      <alignment horizontal="center" vertical="center"/>
      <protection locked="0" hidden="1"/>
    </xf>
    <xf numFmtId="0" fontId="9" fillId="0" borderId="22" xfId="0" applyFont="1" applyFill="1" applyBorder="1" applyAlignment="1" applyProtection="1">
      <alignment horizontal="center" vertical="center"/>
      <protection locked="0" hidden="1"/>
    </xf>
    <xf numFmtId="0" fontId="0" fillId="0" borderId="22" xfId="0" applyFill="1" applyBorder="1" applyAlignment="1" applyProtection="1">
      <alignment horizontal="center" vertical="center"/>
      <protection locked="0" hidden="1"/>
    </xf>
    <xf numFmtId="0" fontId="9" fillId="0" borderId="50" xfId="0" applyFont="1" applyFill="1" applyBorder="1" applyAlignment="1" applyProtection="1">
      <alignment horizontal="center" vertical="center"/>
      <protection locked="0" hidden="1"/>
    </xf>
    <xf numFmtId="0" fontId="0" fillId="53" borderId="0" xfId="0" applyFill="1" applyBorder="1" applyAlignment="1" applyProtection="1">
      <alignment horizontal="center" vertical="center"/>
      <protection locked="0" hidden="1"/>
    </xf>
    <xf numFmtId="0" fontId="9" fillId="53" borderId="0" xfId="0" applyFont="1" applyFill="1" applyBorder="1" applyAlignment="1" applyProtection="1">
      <alignment horizontal="center" vertical="center"/>
      <protection locked="0" hidden="1"/>
    </xf>
    <xf numFmtId="0" fontId="9" fillId="0" borderId="25" xfId="0" applyFont="1"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0" fontId="0" fillId="0" borderId="50" xfId="0" applyBorder="1" applyAlignment="1" applyProtection="1">
      <alignment vertical="center"/>
      <protection locked="0" hidden="1"/>
    </xf>
    <xf numFmtId="0" fontId="0" fillId="0" borderId="0" xfId="0" applyBorder="1" applyAlignment="1" applyProtection="1">
      <alignment vertical="center"/>
      <protection locked="0" hidden="1"/>
    </xf>
    <xf numFmtId="0" fontId="0" fillId="0" borderId="24" xfId="0" applyBorder="1" applyAlignment="1" applyProtection="1">
      <alignment vertical="center"/>
      <protection locked="0" hidden="1"/>
    </xf>
    <xf numFmtId="0" fontId="0" fillId="0" borderId="51" xfId="0" applyFill="1" applyBorder="1" applyAlignment="1" applyProtection="1">
      <alignment horizontal="center" vertical="center"/>
      <protection locked="0" hidden="1"/>
    </xf>
    <xf numFmtId="0" fontId="0" fillId="0" borderId="50"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53" borderId="0" xfId="0" applyFill="1" applyAlignment="1" applyProtection="1">
      <alignment vertical="center"/>
      <protection locked="0" hidden="1"/>
    </xf>
    <xf numFmtId="0" fontId="9" fillId="0" borderId="58" xfId="0" applyFont="1" applyFill="1" applyBorder="1" applyAlignment="1" applyProtection="1">
      <alignment horizontal="center" vertical="center"/>
      <protection locked="0" hidden="1"/>
    </xf>
    <xf numFmtId="0" fontId="9" fillId="0" borderId="16" xfId="0" applyFont="1" applyFill="1" applyBorder="1" applyAlignment="1" applyProtection="1">
      <alignment horizontal="center" vertical="center"/>
      <protection locked="0" hidden="1"/>
    </xf>
    <xf numFmtId="0" fontId="9" fillId="0" borderId="2" xfId="0" applyFont="1" applyFill="1" applyBorder="1" applyAlignment="1" applyProtection="1">
      <alignment horizontal="center" vertical="center"/>
      <protection locked="0" hidden="1"/>
    </xf>
    <xf numFmtId="0" fontId="9" fillId="0" borderId="17" xfId="0" applyFont="1" applyFill="1" applyBorder="1" applyAlignment="1" applyProtection="1">
      <alignment horizontal="center" vertical="center"/>
      <protection locked="0" hidden="1"/>
    </xf>
    <xf numFmtId="1" fontId="0" fillId="0" borderId="0" xfId="0" applyNumberFormat="1" applyFill="1" applyBorder="1" applyAlignment="1" applyProtection="1">
      <alignment horizontal="center" vertical="center"/>
      <protection locked="0" hidden="1"/>
    </xf>
    <xf numFmtId="0" fontId="0" fillId="0" borderId="25" xfId="0" applyNumberFormat="1" applyFill="1" applyBorder="1" applyAlignment="1" applyProtection="1">
      <alignment horizontal="center" vertical="center"/>
      <protection locked="0" hidden="1"/>
    </xf>
    <xf numFmtId="0" fontId="0" fillId="0" borderId="61" xfId="35" applyNumberFormat="1" applyFont="1" applyFill="1" applyBorder="1" applyAlignment="1" applyProtection="1">
      <alignment horizontal="center" vertical="center"/>
      <protection locked="0" hidden="1"/>
    </xf>
    <xf numFmtId="1" fontId="0" fillId="0" borderId="50" xfId="0" applyNumberFormat="1" applyFill="1" applyBorder="1" applyAlignment="1" applyProtection="1">
      <alignment horizontal="center" vertical="center"/>
      <protection locked="0" hidden="1"/>
    </xf>
    <xf numFmtId="1" fontId="0" fillId="0" borderId="24" xfId="0" applyNumberFormat="1" applyFill="1" applyBorder="1" applyAlignment="1" applyProtection="1">
      <alignment horizontal="center" vertical="center"/>
      <protection locked="0" hidden="1"/>
    </xf>
    <xf numFmtId="166" fontId="0" fillId="53" borderId="0" xfId="0" applyNumberFormat="1" applyFill="1" applyBorder="1" applyAlignment="1" applyProtection="1">
      <alignment horizontal="center" vertical="center"/>
      <protection locked="0" hidden="1"/>
    </xf>
    <xf numFmtId="166" fontId="0" fillId="0" borderId="0" xfId="0" applyNumberFormat="1" applyFill="1" applyBorder="1" applyAlignment="1" applyProtection="1">
      <alignment horizontal="center" vertical="center"/>
      <protection locked="0" hidden="1"/>
    </xf>
    <xf numFmtId="166" fontId="0" fillId="0" borderId="24" xfId="0" applyNumberFormat="1" applyFill="1" applyBorder="1" applyAlignment="1" applyProtection="1">
      <alignment horizontal="center" vertical="center"/>
      <protection locked="0" hidden="1"/>
    </xf>
    <xf numFmtId="165" fontId="0" fillId="0" borderId="50" xfId="0" applyNumberFormat="1" applyFill="1" applyBorder="1" applyAlignment="1" applyProtection="1">
      <alignment horizontal="center" vertical="center"/>
      <protection locked="0" hidden="1"/>
    </xf>
    <xf numFmtId="165" fontId="0" fillId="0" borderId="24" xfId="0" applyNumberFormat="1" applyFill="1" applyBorder="1" applyAlignment="1" applyProtection="1">
      <alignment horizontal="center" vertical="center"/>
      <protection locked="0" hidden="1"/>
    </xf>
    <xf numFmtId="166" fontId="0" fillId="0" borderId="50" xfId="0" applyNumberFormat="1" applyFill="1" applyBorder="1" applyAlignment="1" applyProtection="1">
      <alignment horizontal="center" vertical="center"/>
      <protection locked="0" hidden="1"/>
    </xf>
    <xf numFmtId="166" fontId="0" fillId="0" borderId="25" xfId="0" applyNumberFormat="1" applyFill="1" applyBorder="1" applyAlignment="1" applyProtection="1">
      <alignment horizontal="center" vertical="center"/>
      <protection locked="0" hidden="1"/>
    </xf>
    <xf numFmtId="1" fontId="0" fillId="0" borderId="25" xfId="0" applyNumberFormat="1" applyFill="1" applyBorder="1" applyAlignment="1" applyProtection="1">
      <alignment horizontal="center" vertical="center"/>
      <protection locked="0" hidden="1"/>
    </xf>
    <xf numFmtId="166" fontId="0" fillId="51" borderId="24" xfId="0" applyNumberFormat="1" applyFill="1" applyBorder="1" applyAlignment="1" applyProtection="1">
      <alignment horizontal="center" vertical="center"/>
      <protection locked="0" hidden="1"/>
    </xf>
    <xf numFmtId="1" fontId="0" fillId="53" borderId="0" xfId="0" applyNumberFormat="1" applyFill="1" applyBorder="1" applyAlignment="1" applyProtection="1">
      <alignment horizontal="center" vertical="center"/>
      <protection locked="0" hidden="1"/>
    </xf>
    <xf numFmtId="0" fontId="0" fillId="51" borderId="0" xfId="0" applyFill="1" applyBorder="1" applyAlignment="1" applyProtection="1">
      <alignment horizontal="center" vertical="center"/>
      <protection locked="0" hidden="1"/>
    </xf>
    <xf numFmtId="0" fontId="0" fillId="4" borderId="25" xfId="0" applyFill="1" applyBorder="1" applyAlignment="1" applyProtection="1">
      <alignment horizontal="center" vertical="center"/>
      <protection locked="0" hidden="1"/>
    </xf>
    <xf numFmtId="1" fontId="0" fillId="4" borderId="24" xfId="0" applyNumberFormat="1" applyFill="1" applyBorder="1" applyAlignment="1" applyProtection="1">
      <alignment horizontal="center" vertical="center"/>
      <protection locked="0" hidden="1"/>
    </xf>
    <xf numFmtId="1" fontId="0" fillId="0" borderId="97" xfId="0" applyNumberFormat="1" applyFill="1" applyBorder="1" applyAlignment="1" applyProtection="1">
      <alignment horizontal="center" vertical="center"/>
      <protection locked="0" hidden="1"/>
    </xf>
    <xf numFmtId="1" fontId="0" fillId="0" borderId="19" xfId="0" applyNumberFormat="1" applyFill="1" applyBorder="1" applyAlignment="1" applyProtection="1">
      <alignment horizontal="center" vertical="center"/>
      <protection locked="0" hidden="1"/>
    </xf>
    <xf numFmtId="0" fontId="2" fillId="0" borderId="24" xfId="0" applyFont="1" applyFill="1" applyBorder="1" applyAlignment="1" applyProtection="1">
      <alignment horizontal="center" vertical="center"/>
      <protection locked="0" hidden="1"/>
    </xf>
    <xf numFmtId="0" fontId="2" fillId="0" borderId="25" xfId="0" applyFont="1" applyFill="1" applyBorder="1" applyAlignment="1" applyProtection="1">
      <alignment horizontal="center" vertical="center"/>
      <protection locked="0" hidden="1"/>
    </xf>
    <xf numFmtId="0" fontId="2" fillId="4" borderId="25" xfId="0" applyFont="1" applyFill="1" applyBorder="1" applyAlignment="1" applyProtection="1">
      <alignment horizontal="center" vertical="center"/>
      <protection locked="0" hidden="1"/>
    </xf>
    <xf numFmtId="1" fontId="2" fillId="0" borderId="33" xfId="0" applyNumberFormat="1" applyFont="1" applyFill="1" applyBorder="1" applyAlignment="1" applyProtection="1">
      <alignment horizontal="center" vertical="center"/>
      <protection locked="0" hidden="1"/>
    </xf>
    <xf numFmtId="0" fontId="2" fillId="0" borderId="17" xfId="0"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center" vertical="center"/>
      <protection locked="0" hidden="1"/>
    </xf>
    <xf numFmtId="1"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locked="0" hidden="1"/>
    </xf>
    <xf numFmtId="1" fontId="4" fillId="0" borderId="57"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166" fontId="2" fillId="0" borderId="0"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2" fontId="2" fillId="0" borderId="0"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left" vertical="center"/>
      <protection locked="0" hidden="1"/>
    </xf>
    <xf numFmtId="1" fontId="9" fillId="4" borderId="24" xfId="0" applyNumberFormat="1"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vertical="center"/>
      <protection locked="0" hidden="1"/>
    </xf>
    <xf numFmtId="0" fontId="9" fillId="0" borderId="1" xfId="42" applyFont="1" applyFill="1" applyBorder="1" applyAlignment="1" applyProtection="1">
      <alignment horizontal="center" vertical="center"/>
      <protection hidden="1"/>
    </xf>
    <xf numFmtId="1" fontId="9" fillId="0" borderId="1" xfId="42" applyNumberFormat="1" applyFont="1" applyFill="1" applyBorder="1" applyAlignment="1" applyProtection="1">
      <alignment horizontal="center" vertical="center"/>
      <protection hidden="1"/>
    </xf>
    <xf numFmtId="0" fontId="2" fillId="0" borderId="97" xfId="0" applyFont="1" applyFill="1" applyBorder="1" applyAlignment="1" applyProtection="1">
      <alignment horizontal="center" vertical="center"/>
      <protection locked="0" hidden="1"/>
    </xf>
    <xf numFmtId="1" fontId="2" fillId="0" borderId="1" xfId="0" applyNumberFormat="1" applyFont="1" applyFill="1" applyBorder="1" applyAlignment="1" applyProtection="1">
      <alignment horizontal="center" vertical="center"/>
      <protection locked="0" hidden="1"/>
    </xf>
    <xf numFmtId="1" fontId="9" fillId="0" borderId="24" xfId="0" applyNumberFormat="1" applyFont="1" applyFill="1" applyBorder="1" applyAlignment="1" applyProtection="1">
      <alignment horizontal="center" vertical="center"/>
      <protection locked="0" hidden="1"/>
    </xf>
    <xf numFmtId="0" fontId="0" fillId="4" borderId="25" xfId="0" applyFill="1" applyBorder="1" applyAlignment="1" applyProtection="1">
      <alignment vertical="center"/>
      <protection locked="0" hidden="1"/>
    </xf>
    <xf numFmtId="0" fontId="12" fillId="0" borderId="0" xfId="0" applyFont="1" applyFill="1" applyBorder="1" applyAlignment="1" applyProtection="1">
      <alignment horizontal="center" vertical="center"/>
      <protection locked="0" hidden="1"/>
    </xf>
    <xf numFmtId="1" fontId="5" fillId="0" borderId="57" xfId="0" applyNumberFormat="1" applyFont="1" applyFill="1" applyBorder="1" applyAlignment="1" applyProtection="1">
      <alignment horizontal="center" vertical="center"/>
      <protection locked="0" hidden="1"/>
    </xf>
    <xf numFmtId="1" fontId="5" fillId="0" borderId="95" xfId="0" applyNumberFormat="1" applyFont="1" applyFill="1" applyBorder="1" applyAlignment="1" applyProtection="1">
      <alignment horizontal="center" vertical="center"/>
      <protection locked="0" hidden="1"/>
    </xf>
    <xf numFmtId="1" fontId="5" fillId="0" borderId="37"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left" vertical="center"/>
      <protection locked="0" hidden="1"/>
    </xf>
    <xf numFmtId="0" fontId="5" fillId="0" borderId="0" xfId="0" applyFont="1" applyFill="1" applyBorder="1" applyAlignment="1" applyProtection="1">
      <alignment horizontal="left" vertical="center"/>
      <protection locked="0" hidden="1"/>
    </xf>
    <xf numFmtId="0" fontId="2" fillId="0" borderId="0" xfId="0" applyFont="1" applyAlignment="1" applyProtection="1">
      <alignment vertical="center"/>
      <protection locked="0" hidden="1"/>
    </xf>
    <xf numFmtId="166" fontId="2" fillId="0" borderId="0" xfId="0" applyNumberFormat="1" applyFont="1" applyFill="1" applyBorder="1" applyAlignment="1" applyProtection="1">
      <alignment horizontal="center" vertical="center" wrapText="1"/>
      <protection locked="0" hidden="1"/>
    </xf>
    <xf numFmtId="0" fontId="4" fillId="0" borderId="0" xfId="0" applyFont="1" applyAlignment="1" applyProtection="1">
      <alignment vertical="center"/>
      <protection locked="0" hidden="1"/>
    </xf>
    <xf numFmtId="164" fontId="2" fillId="0" borderId="46" xfId="0" applyNumberFormat="1" applyFont="1" applyBorder="1" applyAlignment="1" applyProtection="1">
      <alignment horizontal="center" vertical="center"/>
      <protection locked="0" hidden="1"/>
    </xf>
    <xf numFmtId="0" fontId="2" fillId="0" borderId="54" xfId="0"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locked="0" hidden="1"/>
    </xf>
    <xf numFmtId="166" fontId="2" fillId="0" borderId="0" xfId="0" applyNumberFormat="1" applyFont="1" applyBorder="1" applyAlignment="1" applyProtection="1">
      <alignment horizontal="center" vertical="center"/>
      <protection locked="0" hidden="1"/>
    </xf>
    <xf numFmtId="0" fontId="5" fillId="0" borderId="0" xfId="0" applyFont="1" applyBorder="1" applyAlignment="1" applyProtection="1">
      <alignment vertical="center"/>
      <protection locked="0" hidden="1"/>
    </xf>
    <xf numFmtId="0" fontId="5" fillId="0" borderId="0" xfId="0" applyFont="1" applyFill="1" applyBorder="1" applyAlignment="1" applyProtection="1">
      <alignment vertical="center"/>
      <protection locked="0" hidden="1"/>
    </xf>
    <xf numFmtId="0" fontId="0" fillId="0" borderId="0" xfId="0" applyProtection="1">
      <protection locked="0" hidden="1"/>
    </xf>
    <xf numFmtId="0" fontId="0" fillId="0" borderId="0" xfId="0" applyProtection="1">
      <protection hidden="1"/>
    </xf>
    <xf numFmtId="0" fontId="4" fillId="0" borderId="0" xfId="0" applyFont="1" applyProtection="1">
      <protection locked="0" hidden="1"/>
    </xf>
    <xf numFmtId="0" fontId="4" fillId="0" borderId="0" xfId="0" applyFont="1" applyProtection="1">
      <protection hidden="1"/>
    </xf>
    <xf numFmtId="0" fontId="9" fillId="0" borderId="0" xfId="0" applyFont="1" applyAlignment="1" applyProtection="1">
      <alignment horizontal="center"/>
      <protection locked="0" hidden="1"/>
    </xf>
    <xf numFmtId="0" fontId="2" fillId="0" borderId="33" xfId="0" applyFont="1" applyBorder="1" applyAlignment="1" applyProtection="1">
      <alignment horizontal="center" vertical="center"/>
    </xf>
    <xf numFmtId="0" fontId="2" fillId="52" borderId="98" xfId="0" applyFont="1" applyFill="1" applyBorder="1" applyAlignment="1" applyProtection="1">
      <alignment horizontal="center" vertical="center"/>
      <protection locked="0"/>
    </xf>
    <xf numFmtId="0" fontId="2" fillId="52" borderId="99" xfId="0" applyFont="1" applyFill="1" applyBorder="1" applyAlignment="1" applyProtection="1">
      <alignment horizontal="center" vertical="center"/>
      <protection locked="0"/>
    </xf>
    <xf numFmtId="1" fontId="0" fillId="0" borderId="0" xfId="0" applyNumberFormat="1"/>
    <xf numFmtId="49" fontId="0" fillId="0" borderId="0" xfId="0" applyNumberFormat="1" applyAlignment="1" applyProtection="1">
      <alignment vertical="center"/>
      <protection locked="0" hidden="1"/>
    </xf>
    <xf numFmtId="0" fontId="9" fillId="0" borderId="0" xfId="0" applyFont="1" applyFill="1" applyAlignment="1" applyProtection="1">
      <alignment vertical="center"/>
    </xf>
    <xf numFmtId="0" fontId="54" fillId="0" borderId="0" xfId="42"/>
    <xf numFmtId="1" fontId="54" fillId="0" borderId="0" xfId="42" applyNumberFormat="1"/>
    <xf numFmtId="1" fontId="0" fillId="0" borderId="0" xfId="0" applyNumberFormat="1" applyFill="1" applyAlignment="1" applyProtection="1">
      <alignment horizontal="center" vertical="center"/>
    </xf>
    <xf numFmtId="0" fontId="9" fillId="0" borderId="0" xfId="0" applyFont="1" applyAlignment="1" applyProtection="1">
      <alignment vertical="center"/>
      <protection hidden="1"/>
    </xf>
    <xf numFmtId="0" fontId="0" fillId="0" borderId="24" xfId="0" applyBorder="1" applyAlignment="1" applyProtection="1">
      <alignment horizontal="center" vertical="center"/>
      <protection locked="0" hidden="1"/>
    </xf>
    <xf numFmtId="0" fontId="0" fillId="0" borderId="50" xfId="0" applyBorder="1" applyAlignment="1" applyProtection="1">
      <alignment horizontal="center" vertical="center"/>
      <protection locked="0" hidden="1"/>
    </xf>
    <xf numFmtId="0" fontId="0" fillId="0" borderId="0" xfId="0" applyBorder="1" applyAlignment="1" applyProtection="1">
      <alignment horizontal="center" vertical="center"/>
      <protection locked="0" hidden="1"/>
    </xf>
    <xf numFmtId="1" fontId="0" fillId="0" borderId="58" xfId="0" applyNumberFormat="1" applyFill="1" applyBorder="1" applyAlignment="1" applyProtection="1">
      <alignment horizontal="center" vertical="center"/>
      <protection locked="0" hidden="1"/>
    </xf>
    <xf numFmtId="166" fontId="0" fillId="0" borderId="50" xfId="0" applyNumberFormat="1" applyBorder="1" applyAlignment="1" applyProtection="1">
      <alignment horizontal="center" vertical="center"/>
      <protection locked="0" hidden="1"/>
    </xf>
    <xf numFmtId="166" fontId="0" fillId="0" borderId="0" xfId="0" applyNumberFormat="1" applyBorder="1" applyAlignment="1" applyProtection="1">
      <alignment horizontal="center" vertical="center"/>
      <protection locked="0" hidden="1"/>
    </xf>
    <xf numFmtId="1" fontId="0" fillId="0" borderId="2" xfId="0" applyNumberFormat="1" applyFill="1"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165" fontId="2" fillId="0" borderId="16" xfId="0" applyNumberFormat="1" applyFont="1" applyFill="1" applyBorder="1" applyAlignment="1" applyProtection="1">
      <alignment horizontal="center" vertical="center"/>
      <protection locked="0" hidden="1"/>
    </xf>
    <xf numFmtId="1" fontId="2" fillId="0" borderId="34" xfId="0" applyNumberFormat="1" applyFont="1" applyFill="1" applyBorder="1" applyAlignment="1" applyProtection="1">
      <alignment horizontal="center" vertical="center"/>
      <protection locked="0" hidden="1"/>
    </xf>
    <xf numFmtId="0" fontId="9" fillId="0" borderId="100" xfId="42" applyFont="1" applyFill="1" applyBorder="1" applyAlignment="1" applyProtection="1">
      <alignment horizontal="left" vertical="center"/>
    </xf>
    <xf numFmtId="0" fontId="27" fillId="49" borderId="0" xfId="0" applyFont="1" applyFill="1" applyBorder="1" applyAlignment="1" applyProtection="1">
      <alignment horizontal="center" vertical="center"/>
    </xf>
    <xf numFmtId="0" fontId="29" fillId="0" borderId="0" xfId="0" applyFont="1" applyAlignment="1" applyProtection="1">
      <alignment vertical="center"/>
      <protection hidden="1"/>
    </xf>
    <xf numFmtId="0" fontId="29" fillId="0" borderId="0" xfId="0" applyFont="1" applyAlignment="1" applyProtection="1">
      <alignment vertical="center"/>
      <protection locked="0" hidden="1"/>
    </xf>
    <xf numFmtId="0" fontId="29" fillId="0" borderId="0" xfId="0" applyFont="1" applyFill="1" applyAlignment="1" applyProtection="1">
      <alignment vertical="center"/>
      <protection locked="0" hidden="1"/>
    </xf>
    <xf numFmtId="0" fontId="4" fillId="0" borderId="0" xfId="0" applyFont="1" applyFill="1" applyAlignment="1" applyProtection="1">
      <alignment vertical="center"/>
      <protection locked="0" hidden="1"/>
    </xf>
    <xf numFmtId="0" fontId="9" fillId="0" borderId="0" xfId="0" applyFont="1" applyAlignment="1" applyProtection="1">
      <alignment vertical="center"/>
      <protection locked="0" hidden="1"/>
    </xf>
    <xf numFmtId="0" fontId="29" fillId="0" borderId="0" xfId="0" applyFont="1" applyFill="1" applyBorder="1" applyAlignment="1" applyProtection="1">
      <alignment horizontal="center" vertical="center"/>
    </xf>
    <xf numFmtId="2" fontId="5" fillId="0" borderId="0" xfId="0" applyNumberFormat="1" applyFont="1" applyFill="1" applyBorder="1" applyAlignment="1" applyProtection="1">
      <alignment horizontal="center" vertical="center"/>
      <protection hidden="1"/>
    </xf>
    <xf numFmtId="2" fontId="5" fillId="0" borderId="0" xfId="0" applyNumberFormat="1" applyFont="1" applyBorder="1" applyAlignment="1" applyProtection="1">
      <alignment horizontal="center" vertical="center"/>
      <protection hidden="1"/>
    </xf>
    <xf numFmtId="0" fontId="2" fillId="54" borderId="0" xfId="0" applyFont="1" applyFill="1" applyAlignment="1" applyProtection="1">
      <alignment horizontal="right" vertical="center"/>
    </xf>
    <xf numFmtId="0" fontId="2" fillId="54" borderId="0" xfId="0" applyFont="1" applyFill="1" applyAlignment="1" applyProtection="1">
      <alignment vertical="center"/>
    </xf>
    <xf numFmtId="0" fontId="0" fillId="54" borderId="0" xfId="0" applyFill="1" applyAlignment="1" applyProtection="1">
      <alignment vertical="center"/>
    </xf>
    <xf numFmtId="166" fontId="2" fillId="0" borderId="101" xfId="0" applyNumberFormat="1" applyFont="1" applyFill="1" applyBorder="1" applyAlignment="1" applyProtection="1">
      <alignment horizontal="center" vertical="center"/>
      <protection locked="0" hidden="1"/>
    </xf>
    <xf numFmtId="1" fontId="2" fillId="0" borderId="50" xfId="0" applyNumberFormat="1" applyFont="1" applyFill="1" applyBorder="1" applyAlignment="1" applyProtection="1">
      <alignment horizontal="center" vertical="center"/>
      <protection locked="0" hidden="1"/>
    </xf>
    <xf numFmtId="1" fontId="2" fillId="53" borderId="0" xfId="0" applyNumberFormat="1" applyFont="1" applyFill="1" applyBorder="1" applyAlignment="1" applyProtection="1">
      <alignment horizontal="center" vertical="center"/>
      <protection locked="0" hidden="1"/>
    </xf>
    <xf numFmtId="0" fontId="2" fillId="2" borderId="102" xfId="0" applyFont="1" applyFill="1" applyBorder="1" applyAlignment="1" applyProtection="1">
      <alignment horizontal="center" vertical="center"/>
      <protection locked="0"/>
    </xf>
    <xf numFmtId="0" fontId="2" fillId="2" borderId="103"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xf>
    <xf numFmtId="0" fontId="2" fillId="52" borderId="72" xfId="0" applyFont="1" applyFill="1" applyBorder="1" applyAlignment="1" applyProtection="1">
      <alignment horizontal="center" vertical="center"/>
      <protection locked="0"/>
    </xf>
    <xf numFmtId="0" fontId="13" fillId="0" borderId="0" xfId="0" applyFont="1" applyProtection="1"/>
    <xf numFmtId="0" fontId="0" fillId="0" borderId="22" xfId="0" applyBorder="1" applyAlignment="1" applyProtection="1">
      <alignment horizontal="center"/>
    </xf>
    <xf numFmtId="0" fontId="0" fillId="0" borderId="51" xfId="0" applyBorder="1" applyAlignment="1" applyProtection="1">
      <alignment horizontal="center"/>
    </xf>
    <xf numFmtId="0" fontId="0" fillId="0" borderId="21" xfId="0" applyBorder="1" applyAlignment="1" applyProtection="1">
      <alignment horizontal="center"/>
    </xf>
    <xf numFmtId="0" fontId="0" fillId="0" borderId="13" xfId="0" applyBorder="1" applyAlignment="1" applyProtection="1">
      <alignment horizontal="center"/>
    </xf>
    <xf numFmtId="0" fontId="0" fillId="0" borderId="25" xfId="0" applyBorder="1" applyAlignment="1" applyProtection="1">
      <alignment horizontal="center"/>
    </xf>
    <xf numFmtId="0" fontId="0" fillId="0" borderId="50" xfId="0" applyBorder="1" applyAlignment="1" applyProtection="1">
      <alignment horizontal="center"/>
    </xf>
    <xf numFmtId="0" fontId="0" fillId="0" borderId="0" xfId="0" applyFill="1" applyProtection="1"/>
    <xf numFmtId="166" fontId="0" fillId="0" borderId="51" xfId="0" applyNumberFormat="1" applyBorder="1" applyAlignment="1" applyProtection="1">
      <alignment horizontal="center"/>
    </xf>
    <xf numFmtId="1" fontId="0" fillId="0" borderId="13" xfId="0" applyNumberFormat="1" applyBorder="1" applyAlignment="1" applyProtection="1">
      <alignment horizontal="center"/>
    </xf>
    <xf numFmtId="166" fontId="0" fillId="0" borderId="13" xfId="0" applyNumberFormat="1" applyBorder="1" applyAlignment="1" applyProtection="1">
      <alignment horizontal="center"/>
    </xf>
    <xf numFmtId="166" fontId="0" fillId="0" borderId="21" xfId="0" applyNumberFormat="1" applyBorder="1" applyAlignment="1" applyProtection="1">
      <alignment horizontal="center"/>
    </xf>
    <xf numFmtId="166" fontId="0" fillId="0" borderId="0" xfId="0" applyNumberFormat="1" applyFill="1" applyBorder="1" applyAlignment="1" applyProtection="1">
      <alignment horizontal="center"/>
    </xf>
    <xf numFmtId="1" fontId="0" fillId="0" borderId="0" xfId="0" applyNumberFormat="1" applyBorder="1" applyAlignment="1" applyProtection="1">
      <alignment horizontal="center"/>
    </xf>
    <xf numFmtId="166" fontId="0" fillId="0" borderId="0" xfId="0" applyNumberFormat="1" applyBorder="1" applyAlignment="1" applyProtection="1">
      <alignment horizontal="center"/>
    </xf>
    <xf numFmtId="166" fontId="0" fillId="0" borderId="24" xfId="0" applyNumberFormat="1" applyBorder="1" applyAlignment="1" applyProtection="1">
      <alignment horizontal="center"/>
    </xf>
    <xf numFmtId="0" fontId="0" fillId="49" borderId="0" xfId="0" applyFill="1" applyAlignment="1" applyProtection="1">
      <alignment vertical="center"/>
      <protection hidden="1"/>
    </xf>
    <xf numFmtId="0" fontId="0" fillId="0" borderId="0" xfId="0" applyBorder="1" applyAlignment="1" applyProtection="1"/>
    <xf numFmtId="0" fontId="0" fillId="0" borderId="2" xfId="0" applyBorder="1" applyAlignment="1" applyProtection="1"/>
    <xf numFmtId="0" fontId="0" fillId="0" borderId="104" xfId="0" applyBorder="1" applyAlignment="1" applyProtection="1"/>
    <xf numFmtId="0" fontId="0" fillId="0" borderId="105" xfId="0" applyBorder="1" applyAlignment="1" applyProtection="1"/>
    <xf numFmtId="0" fontId="0" fillId="0" borderId="106" xfId="0" applyBorder="1" applyAlignment="1" applyProtection="1"/>
    <xf numFmtId="0" fontId="0" fillId="0" borderId="107" xfId="0" applyBorder="1" applyAlignment="1" applyProtection="1"/>
    <xf numFmtId="0" fontId="0" fillId="0" borderId="108" xfId="0" applyBorder="1" applyAlignment="1" applyProtection="1"/>
    <xf numFmtId="0" fontId="0" fillId="0" borderId="109" xfId="0" applyBorder="1" applyAlignment="1" applyProtection="1"/>
    <xf numFmtId="0" fontId="13" fillId="49" borderId="0" xfId="0" applyFont="1" applyFill="1" applyBorder="1" applyAlignment="1" applyProtection="1">
      <alignment vertical="center"/>
    </xf>
    <xf numFmtId="1" fontId="9" fillId="0" borderId="0" xfId="42" applyNumberFormat="1" applyFont="1" applyFill="1" applyBorder="1" applyAlignment="1" applyProtection="1">
      <alignment horizontal="center" vertical="center"/>
      <protection hidden="1"/>
    </xf>
    <xf numFmtId="0" fontId="9" fillId="50" borderId="5" xfId="0" applyFont="1" applyFill="1" applyBorder="1" applyAlignment="1" applyProtection="1">
      <alignment horizontal="center" vertical="center"/>
    </xf>
    <xf numFmtId="1" fontId="2" fillId="0" borderId="110" xfId="0" applyNumberFormat="1" applyFont="1" applyFill="1" applyBorder="1" applyAlignment="1" applyProtection="1">
      <alignment horizontal="center" vertical="center"/>
      <protection hidden="1"/>
    </xf>
    <xf numFmtId="1" fontId="2" fillId="0" borderId="91" xfId="0" applyNumberFormat="1" applyFont="1" applyFill="1" applyBorder="1" applyAlignment="1" applyProtection="1">
      <alignment horizontal="center" vertical="center"/>
      <protection hidden="1"/>
    </xf>
    <xf numFmtId="1" fontId="2" fillId="0" borderId="111" xfId="0" applyNumberFormat="1" applyFont="1" applyFill="1" applyBorder="1" applyAlignment="1" applyProtection="1">
      <alignment horizontal="center" vertical="center"/>
      <protection hidden="1"/>
    </xf>
    <xf numFmtId="1" fontId="2" fillId="0" borderId="0" xfId="0" applyNumberFormat="1" applyFont="1" applyFill="1" applyBorder="1" applyAlignment="1" applyProtection="1">
      <alignment vertical="center"/>
      <protection hidden="1"/>
    </xf>
    <xf numFmtId="0" fontId="9" fillId="0" borderId="0" xfId="0" applyFont="1" applyBorder="1" applyAlignment="1" applyProtection="1">
      <alignment horizontal="center"/>
    </xf>
    <xf numFmtId="0" fontId="2" fillId="49" borderId="0" xfId="0" applyFont="1" applyFill="1" applyBorder="1" applyAlignment="1" applyProtection="1">
      <alignment vertical="center"/>
    </xf>
    <xf numFmtId="0" fontId="27" fillId="49" borderId="0" xfId="0" applyFont="1" applyFill="1" applyBorder="1" applyAlignment="1" applyProtection="1">
      <alignment vertical="center"/>
    </xf>
    <xf numFmtId="0" fontId="0" fillId="0" borderId="0" xfId="0" applyAlignment="1" applyProtection="1">
      <alignment horizontal="center"/>
    </xf>
    <xf numFmtId="0" fontId="9" fillId="0" borderId="0" xfId="0" applyFont="1" applyFill="1" applyBorder="1" applyAlignment="1" applyProtection="1">
      <alignment vertical="center"/>
      <protection hidden="1"/>
    </xf>
    <xf numFmtId="0" fontId="4" fillId="0" borderId="0" xfId="0" applyFont="1" applyProtection="1"/>
    <xf numFmtId="0" fontId="0" fillId="0" borderId="16" xfId="0" applyBorder="1" applyAlignment="1" applyProtection="1"/>
    <xf numFmtId="2" fontId="9" fillId="0" borderId="0" xfId="42" applyNumberFormat="1" applyFont="1" applyFill="1" applyBorder="1" applyAlignment="1" applyProtection="1">
      <alignment horizontal="center" vertical="center"/>
      <protection hidden="1"/>
    </xf>
    <xf numFmtId="0" fontId="5" fillId="0" borderId="0" xfId="62" applyFont="1" applyFill="1" applyAlignment="1" applyProtection="1">
      <alignment horizontal="left"/>
      <protection locked="0"/>
    </xf>
    <xf numFmtId="0" fontId="5" fillId="0" borderId="0" xfId="62" applyFont="1" applyAlignment="1" applyProtection="1">
      <alignment horizontal="left"/>
      <protection locked="0"/>
    </xf>
    <xf numFmtId="0" fontId="5" fillId="0" borderId="0" xfId="62" applyFont="1" applyBorder="1" applyAlignment="1" applyProtection="1">
      <alignment horizontal="left"/>
      <protection locked="0"/>
    </xf>
    <xf numFmtId="0" fontId="5" fillId="0" borderId="0" xfId="62" quotePrefix="1" applyFont="1" applyBorder="1" applyAlignment="1" applyProtection="1">
      <alignment horizontal="left"/>
      <protection locked="0"/>
    </xf>
    <xf numFmtId="0" fontId="5" fillId="0" borderId="0" xfId="62" applyFont="1" applyAlignment="1" applyProtection="1">
      <alignment horizontal="center"/>
      <protection locked="0"/>
    </xf>
    <xf numFmtId="0" fontId="2" fillId="0" borderId="30" xfId="62" applyFont="1" applyFill="1" applyBorder="1" applyAlignment="1" applyProtection="1">
      <protection locked="0"/>
    </xf>
    <xf numFmtId="0" fontId="2" fillId="0" borderId="30" xfId="62" applyFont="1" applyFill="1" applyBorder="1" applyAlignment="1" applyProtection="1">
      <alignment horizontal="center"/>
      <protection locked="0"/>
    </xf>
    <xf numFmtId="0" fontId="2" fillId="0" borderId="0" xfId="62" applyFont="1" applyAlignment="1" applyProtection="1">
      <alignment horizontal="left"/>
      <protection locked="0"/>
    </xf>
    <xf numFmtId="0" fontId="2" fillId="0" borderId="0" xfId="62" applyFont="1" applyAlignment="1" applyProtection="1">
      <alignment horizontal="center"/>
      <protection locked="0"/>
    </xf>
    <xf numFmtId="0" fontId="2" fillId="0" borderId="0" xfId="62" applyFont="1" applyFill="1" applyAlignment="1" applyProtection="1">
      <protection locked="0"/>
    </xf>
    <xf numFmtId="0" fontId="2" fillId="0" borderId="0" xfId="62" applyFont="1" applyAlignment="1" applyProtection="1">
      <protection locked="0"/>
    </xf>
    <xf numFmtId="0" fontId="2" fillId="0" borderId="0" xfId="62" applyFont="1" applyFill="1" applyAlignment="1" applyProtection="1">
      <alignment horizontal="center"/>
      <protection locked="0"/>
    </xf>
    <xf numFmtId="0" fontId="6" fillId="0" borderId="0" xfId="62" applyFont="1" applyFill="1" applyAlignment="1" applyProtection="1">
      <alignment horizontal="center"/>
      <protection locked="0"/>
    </xf>
    <xf numFmtId="0" fontId="2" fillId="0" borderId="3" xfId="62" applyFont="1" applyFill="1" applyBorder="1" applyAlignment="1" applyProtection="1">
      <protection locked="0"/>
    </xf>
    <xf numFmtId="0" fontId="2" fillId="0" borderId="4" xfId="62" applyFont="1" applyFill="1" applyBorder="1" applyAlignment="1" applyProtection="1">
      <protection locked="0"/>
    </xf>
    <xf numFmtId="0" fontId="9" fillId="0" borderId="0" xfId="62" applyFont="1" applyFill="1" applyAlignment="1" applyProtection="1">
      <alignment horizontal="center"/>
      <protection locked="0"/>
    </xf>
    <xf numFmtId="0" fontId="2" fillId="0" borderId="4" xfId="62" applyFont="1" applyFill="1" applyBorder="1" applyAlignment="1" applyProtection="1">
      <alignment horizontal="center"/>
      <protection locked="0"/>
    </xf>
    <xf numFmtId="0" fontId="36" fillId="0" borderId="101" xfId="0" applyFont="1" applyFill="1" applyBorder="1" applyAlignment="1" applyProtection="1">
      <alignment horizontal="center" vertical="center"/>
      <protection locked="0"/>
    </xf>
    <xf numFmtId="0" fontId="2" fillId="0" borderId="29" xfId="62" applyFont="1" applyFill="1" applyBorder="1" applyAlignment="1" applyProtection="1">
      <alignment horizontal="center"/>
      <protection locked="0"/>
    </xf>
    <xf numFmtId="0" fontId="2" fillId="0" borderId="30" xfId="62" applyFont="1" applyBorder="1" applyAlignment="1" applyProtection="1">
      <alignment horizontal="center"/>
      <protection locked="0"/>
    </xf>
    <xf numFmtId="49" fontId="6" fillId="0" borderId="30" xfId="62" applyNumberFormat="1" applyFont="1" applyBorder="1" applyAlignment="1" applyProtection="1">
      <alignment horizontal="center"/>
      <protection locked="0"/>
    </xf>
    <xf numFmtId="0" fontId="12" fillId="0" borderId="29" xfId="0" applyFont="1" applyBorder="1" applyAlignment="1" applyProtection="1">
      <alignment horizontal="center" wrapText="1"/>
      <protection locked="0"/>
    </xf>
    <xf numFmtId="0" fontId="12" fillId="0" borderId="30" xfId="0" applyFont="1" applyBorder="1" applyAlignment="1" applyProtection="1">
      <alignment horizontal="center" wrapText="1"/>
      <protection locked="0"/>
    </xf>
    <xf numFmtId="1" fontId="12" fillId="0" borderId="3" xfId="37" applyNumberFormat="1" applyFont="1" applyFill="1" applyBorder="1" applyAlignment="1" applyProtection="1">
      <alignment horizontal="center"/>
      <protection locked="0"/>
    </xf>
    <xf numFmtId="0" fontId="2" fillId="0" borderId="29" xfId="62" applyFont="1" applyBorder="1" applyAlignment="1" applyProtection="1">
      <alignment horizontal="center"/>
      <protection locked="0"/>
    </xf>
    <xf numFmtId="0" fontId="7" fillId="0" borderId="29" xfId="42" applyFont="1" applyFill="1" applyBorder="1" applyAlignment="1" applyProtection="1">
      <alignment horizontal="center" vertical="center" wrapText="1"/>
      <protection locked="0"/>
    </xf>
    <xf numFmtId="0" fontId="9" fillId="0" borderId="0" xfId="62" applyAlignment="1" applyProtection="1">
      <alignment horizontal="center"/>
      <protection locked="0"/>
    </xf>
    <xf numFmtId="0" fontId="2" fillId="0" borderId="32" xfId="62" applyFont="1" applyFill="1" applyBorder="1" applyAlignment="1" applyProtection="1">
      <alignment horizontal="center"/>
      <protection locked="0"/>
    </xf>
    <xf numFmtId="0" fontId="2" fillId="0" borderId="0" xfId="62" applyFont="1" applyAlignment="1" applyProtection="1">
      <alignment horizontal="center" wrapText="1"/>
      <protection locked="0"/>
    </xf>
    <xf numFmtId="0" fontId="9" fillId="0" borderId="0" xfId="62" applyAlignment="1" applyProtection="1">
      <protection locked="0"/>
    </xf>
    <xf numFmtId="0" fontId="9" fillId="0" borderId="0" xfId="62" applyFill="1" applyAlignment="1" applyProtection="1">
      <protection locked="0"/>
    </xf>
    <xf numFmtId="0" fontId="6" fillId="0" borderId="0" xfId="62" applyFont="1" applyFill="1" applyAlignment="1" applyProtection="1">
      <alignment horizontal="left"/>
      <protection locked="0"/>
    </xf>
    <xf numFmtId="0" fontId="2" fillId="0" borderId="0" xfId="62" applyFont="1" applyFill="1" applyAlignment="1" applyProtection="1">
      <alignment horizontal="center" vertical="center"/>
      <protection locked="0"/>
    </xf>
    <xf numFmtId="0" fontId="2" fillId="0" borderId="5" xfId="62" applyFont="1" applyFill="1" applyBorder="1" applyAlignment="1" applyProtection="1">
      <alignment vertical="center"/>
      <protection locked="0"/>
    </xf>
    <xf numFmtId="0" fontId="2" fillId="0" borderId="0" xfId="62" applyFont="1" applyFill="1" applyBorder="1" applyAlignment="1" applyProtection="1">
      <alignment vertical="center"/>
      <protection locked="0"/>
    </xf>
    <xf numFmtId="0" fontId="5" fillId="0" borderId="43" xfId="62" applyFont="1" applyFill="1" applyBorder="1" applyAlignment="1" applyProtection="1">
      <alignment horizontal="center" wrapText="1"/>
      <protection locked="0"/>
    </xf>
    <xf numFmtId="0" fontId="5" fillId="0" borderId="25" xfId="62" applyFont="1" applyFill="1" applyBorder="1" applyAlignment="1" applyProtection="1">
      <alignment horizontal="center" wrapText="1"/>
      <protection locked="0"/>
    </xf>
    <xf numFmtId="0" fontId="5" fillId="0" borderId="24" xfId="62" applyFont="1" applyFill="1" applyBorder="1" applyAlignment="1" applyProtection="1">
      <alignment horizontal="center" wrapText="1"/>
      <protection locked="0"/>
    </xf>
    <xf numFmtId="0" fontId="2" fillId="0" borderId="32" xfId="62" applyFont="1" applyFill="1" applyBorder="1" applyAlignment="1" applyProtection="1">
      <alignment horizontal="center" vertical="center"/>
      <protection locked="0"/>
    </xf>
    <xf numFmtId="0" fontId="2" fillId="0" borderId="25" xfId="62" applyFont="1" applyFill="1" applyBorder="1" applyAlignment="1" applyProtection="1">
      <alignment horizontal="center" vertical="center"/>
      <protection locked="0"/>
    </xf>
    <xf numFmtId="0" fontId="2" fillId="0" borderId="31" xfId="62" applyFont="1" applyFill="1" applyBorder="1" applyAlignment="1" applyProtection="1">
      <alignment horizontal="center" vertical="center"/>
      <protection locked="0"/>
    </xf>
    <xf numFmtId="0" fontId="2" fillId="0" borderId="32" xfId="62" applyFont="1" applyBorder="1" applyAlignment="1" applyProtection="1">
      <alignment horizontal="center" vertical="center"/>
      <protection locked="0"/>
    </xf>
    <xf numFmtId="49" fontId="6" fillId="0" borderId="32" xfId="62" applyNumberFormat="1" applyFont="1" applyFill="1" applyBorder="1" applyAlignment="1" applyProtection="1">
      <alignment horizontal="center"/>
      <protection locked="0"/>
    </xf>
    <xf numFmtId="1" fontId="12" fillId="0" borderId="32" xfId="37" applyNumberFormat="1" applyFont="1" applyFill="1" applyBorder="1" applyAlignment="1" applyProtection="1">
      <alignment horizontal="center"/>
      <protection locked="0"/>
    </xf>
    <xf numFmtId="0" fontId="12" fillId="0" borderId="43" xfId="0" applyFont="1" applyBorder="1" applyAlignment="1" applyProtection="1">
      <alignment horizontal="center" wrapText="1"/>
      <protection locked="0"/>
    </xf>
    <xf numFmtId="0" fontId="12" fillId="0" borderId="25" xfId="0" applyFont="1" applyBorder="1" applyAlignment="1" applyProtection="1">
      <alignment horizontal="center" wrapText="1"/>
      <protection locked="0"/>
    </xf>
    <xf numFmtId="1" fontId="12" fillId="0" borderId="25" xfId="37" applyNumberFormat="1" applyFont="1" applyFill="1" applyBorder="1" applyAlignment="1" applyProtection="1">
      <alignment horizontal="center"/>
      <protection locked="0"/>
    </xf>
    <xf numFmtId="1" fontId="12" fillId="0" borderId="9" xfId="37" applyNumberFormat="1" applyFont="1" applyFill="1" applyBorder="1" applyAlignment="1" applyProtection="1">
      <alignment horizontal="center"/>
      <protection locked="0"/>
    </xf>
    <xf numFmtId="1" fontId="12" fillId="0" borderId="5" xfId="37" applyNumberFormat="1" applyFont="1" applyFill="1" applyBorder="1" applyAlignment="1" applyProtection="1">
      <alignment horizontal="center"/>
      <protection locked="0"/>
    </xf>
    <xf numFmtId="0" fontId="13" fillId="0" borderId="9" xfId="0" applyFont="1" applyFill="1" applyBorder="1" applyAlignment="1" applyProtection="1">
      <alignment horizontal="center"/>
      <protection locked="0"/>
    </xf>
    <xf numFmtId="0" fontId="2" fillId="0" borderId="32" xfId="62" applyFont="1" applyBorder="1" applyAlignment="1" applyProtection="1">
      <alignment horizontal="center"/>
      <protection locked="0"/>
    </xf>
    <xf numFmtId="0" fontId="2" fillId="0" borderId="34" xfId="62" applyFont="1" applyFill="1" applyBorder="1" applyProtection="1">
      <protection locked="0"/>
    </xf>
    <xf numFmtId="0" fontId="9" fillId="0" borderId="0" xfId="62" applyProtection="1">
      <protection locked="0"/>
    </xf>
    <xf numFmtId="0" fontId="9" fillId="0" borderId="0" xfId="62" applyFill="1" applyAlignment="1" applyProtection="1">
      <alignment horizontal="left"/>
      <protection locked="0"/>
    </xf>
    <xf numFmtId="0" fontId="7" fillId="0" borderId="0" xfId="62" applyFont="1" applyFill="1" applyAlignment="1" applyProtection="1">
      <alignment horizontal="left"/>
      <protection locked="0"/>
    </xf>
    <xf numFmtId="0" fontId="2" fillId="0" borderId="34" xfId="62" applyFont="1" applyFill="1" applyBorder="1" applyAlignment="1" applyProtection="1">
      <alignment horizontal="center"/>
      <protection locked="0"/>
    </xf>
    <xf numFmtId="0" fontId="2" fillId="0" borderId="8" xfId="62" applyFont="1" applyFill="1" applyBorder="1" applyAlignment="1" applyProtection="1">
      <alignment horizontal="center"/>
      <protection locked="0"/>
    </xf>
    <xf numFmtId="0" fontId="2" fillId="0" borderId="36" xfId="62" applyFont="1" applyFill="1" applyBorder="1" applyAlignment="1" applyProtection="1">
      <alignment horizontal="center"/>
      <protection locked="0"/>
    </xf>
    <xf numFmtId="0" fontId="2" fillId="0" borderId="6" xfId="62" applyFont="1" applyFill="1" applyBorder="1" applyAlignment="1" applyProtection="1">
      <alignment horizontal="center"/>
      <protection locked="0"/>
    </xf>
    <xf numFmtId="0" fontId="2" fillId="0" borderId="55" xfId="62" applyFont="1" applyFill="1" applyBorder="1" applyAlignment="1" applyProtection="1">
      <alignment horizontal="center"/>
      <protection locked="0"/>
    </xf>
    <xf numFmtId="0" fontId="2" fillId="0" borderId="7" xfId="62" applyFont="1" applyFill="1" applyBorder="1" applyAlignment="1" applyProtection="1">
      <alignment horizontal="center"/>
      <protection locked="0"/>
    </xf>
    <xf numFmtId="0" fontId="17" fillId="0" borderId="36" xfId="62" applyFont="1" applyFill="1" applyBorder="1" applyAlignment="1" applyProtection="1">
      <alignment horizontal="center"/>
      <protection locked="0"/>
    </xf>
    <xf numFmtId="0" fontId="2" fillId="0" borderId="33" xfId="62" applyFont="1" applyFill="1" applyBorder="1" applyAlignment="1" applyProtection="1">
      <alignment horizontal="center"/>
      <protection locked="0"/>
    </xf>
    <xf numFmtId="0" fontId="9" fillId="0" borderId="34" xfId="62" applyFont="1" applyBorder="1" applyAlignment="1" applyProtection="1">
      <alignment horizontal="center"/>
      <protection locked="0"/>
    </xf>
    <xf numFmtId="0" fontId="2" fillId="0" borderId="34" xfId="62" applyFont="1" applyBorder="1" applyAlignment="1" applyProtection="1">
      <alignment horizontal="center"/>
      <protection locked="0"/>
    </xf>
    <xf numFmtId="1" fontId="12" fillId="0" borderId="33" xfId="37" applyNumberFormat="1" applyFont="1" applyFill="1" applyBorder="1" applyAlignment="1" applyProtection="1">
      <alignment horizontal="center"/>
      <protection locked="0"/>
    </xf>
    <xf numFmtId="1" fontId="12" fillId="0" borderId="34" xfId="37" applyNumberFormat="1" applyFont="1" applyFill="1" applyBorder="1" applyAlignment="1" applyProtection="1">
      <alignment horizontal="center"/>
      <protection locked="0"/>
    </xf>
    <xf numFmtId="1" fontId="12" fillId="0" borderId="8" xfId="37" applyNumberFormat="1" applyFont="1" applyFill="1" applyBorder="1" applyAlignment="1" applyProtection="1">
      <alignment horizontal="center"/>
      <protection locked="0"/>
    </xf>
    <xf numFmtId="1" fontId="12" fillId="0" borderId="36" xfId="37" applyNumberFormat="1" applyFont="1" applyFill="1" applyBorder="1" applyAlignment="1" applyProtection="1">
      <alignment horizontal="center"/>
      <protection locked="0"/>
    </xf>
    <xf numFmtId="1" fontId="12" fillId="0" borderId="37" xfId="37" applyNumberFormat="1" applyFont="1" applyFill="1" applyBorder="1" applyAlignment="1" applyProtection="1">
      <alignment horizontal="center"/>
      <protection locked="0"/>
    </xf>
    <xf numFmtId="1" fontId="12" fillId="0" borderId="6" xfId="37" applyNumberFormat="1" applyFont="1" applyFill="1" applyBorder="1" applyAlignment="1" applyProtection="1">
      <alignment horizontal="center"/>
      <protection locked="0"/>
    </xf>
    <xf numFmtId="0" fontId="6" fillId="0" borderId="37" xfId="42" applyFont="1" applyFill="1" applyBorder="1" applyAlignment="1" applyProtection="1">
      <alignment horizontal="center" vertical="center" wrapText="1"/>
      <protection locked="0"/>
    </xf>
    <xf numFmtId="1" fontId="84" fillId="0" borderId="36" xfId="37" applyNumberFormat="1" applyFont="1" applyFill="1" applyBorder="1" applyAlignment="1" applyProtection="1">
      <alignment horizontal="center"/>
      <protection locked="0"/>
    </xf>
    <xf numFmtId="2" fontId="84" fillId="0" borderId="37" xfId="37" applyNumberFormat="1" applyFont="1" applyFill="1" applyBorder="1" applyAlignment="1" applyProtection="1">
      <alignment horizontal="center"/>
      <protection locked="0"/>
    </xf>
    <xf numFmtId="0" fontId="85" fillId="0" borderId="0" xfId="62" applyFont="1" applyFill="1" applyAlignment="1" applyProtection="1">
      <alignment horizontal="left" vertical="top"/>
      <protection locked="0"/>
    </xf>
    <xf numFmtId="0" fontId="85" fillId="0" borderId="0" xfId="62" applyFont="1" applyAlignment="1" applyProtection="1">
      <alignment horizontal="left" vertical="top"/>
      <protection locked="0"/>
    </xf>
    <xf numFmtId="0" fontId="85" fillId="0" borderId="25" xfId="62" applyFont="1" applyFill="1" applyBorder="1" applyAlignment="1" applyProtection="1">
      <alignment horizontal="left" vertical="top"/>
      <protection locked="0"/>
    </xf>
    <xf numFmtId="0" fontId="85" fillId="0" borderId="0" xfId="62" applyFont="1" applyBorder="1" applyAlignment="1" applyProtection="1">
      <alignment horizontal="left" vertical="top"/>
      <protection locked="0"/>
    </xf>
    <xf numFmtId="0" fontId="85" fillId="0" borderId="0" xfId="62" applyFont="1" applyAlignment="1" applyProtection="1">
      <alignment horizontal="center" vertical="top"/>
      <protection locked="0"/>
    </xf>
    <xf numFmtId="0" fontId="2" fillId="0" borderId="30" xfId="62" applyFont="1" applyFill="1" applyBorder="1" applyProtection="1">
      <protection locked="0"/>
    </xf>
    <xf numFmtId="0" fontId="9" fillId="0" borderId="0" xfId="62" applyFont="1" applyAlignment="1" applyProtection="1">
      <alignment horizontal="center"/>
      <protection locked="0"/>
    </xf>
    <xf numFmtId="0" fontId="2" fillId="0" borderId="0" xfId="63" applyFont="1" applyFill="1" applyBorder="1" applyAlignment="1" applyProtection="1">
      <alignment horizontal="center"/>
      <protection locked="0"/>
    </xf>
    <xf numFmtId="0" fontId="7" fillId="0" borderId="0" xfId="62" applyFont="1" applyFill="1" applyAlignment="1" applyProtection="1">
      <alignment horizontal="center"/>
      <protection locked="0"/>
    </xf>
    <xf numFmtId="0" fontId="2" fillId="0" borderId="0" xfId="62" applyFont="1" applyFill="1" applyBorder="1" applyProtection="1">
      <protection locked="0"/>
    </xf>
    <xf numFmtId="0" fontId="2" fillId="0" borderId="43" xfId="62" applyFont="1" applyFill="1" applyBorder="1" applyAlignment="1" applyProtection="1">
      <alignment horizontal="center"/>
      <protection locked="0"/>
    </xf>
    <xf numFmtId="0" fontId="2" fillId="0" borderId="25" xfId="62" applyFont="1" applyFill="1" applyBorder="1" applyAlignment="1" applyProtection="1">
      <alignment horizontal="center"/>
      <protection locked="0"/>
    </xf>
    <xf numFmtId="0" fontId="2" fillId="0" borderId="44" xfId="62" applyFont="1" applyFill="1" applyBorder="1" applyAlignment="1" applyProtection="1">
      <alignment horizontal="center"/>
      <protection locked="0"/>
    </xf>
    <xf numFmtId="0" fontId="2" fillId="0" borderId="45" xfId="62" applyFont="1" applyFill="1" applyBorder="1" applyAlignment="1" applyProtection="1">
      <alignment horizontal="center"/>
      <protection locked="0"/>
    </xf>
    <xf numFmtId="0" fontId="2" fillId="0" borderId="32" xfId="62" applyFont="1" applyFill="1" applyBorder="1" applyAlignment="1" applyProtection="1">
      <alignment horizontal="centerContinuous"/>
      <protection locked="0"/>
    </xf>
    <xf numFmtId="0" fontId="2" fillId="0" borderId="31" xfId="62" applyFont="1" applyFill="1" applyBorder="1" applyAlignment="1" applyProtection="1">
      <alignment horizontal="center"/>
      <protection locked="0"/>
    </xf>
    <xf numFmtId="0" fontId="9" fillId="0" borderId="32" xfId="62" applyFont="1" applyBorder="1" applyAlignment="1" applyProtection="1">
      <alignment horizontal="center"/>
      <protection locked="0"/>
    </xf>
    <xf numFmtId="0" fontId="2" fillId="0" borderId="112" xfId="62" applyFont="1" applyBorder="1" applyAlignment="1" applyProtection="1">
      <alignment horizontal="center"/>
      <protection locked="0"/>
    </xf>
    <xf numFmtId="0" fontId="2" fillId="0" borderId="101" xfId="62" applyFont="1" applyBorder="1" applyAlignment="1" applyProtection="1">
      <alignment horizontal="center"/>
      <protection locked="0"/>
    </xf>
    <xf numFmtId="0" fontId="2" fillId="0" borderId="113" xfId="62" applyFont="1" applyBorder="1" applyAlignment="1" applyProtection="1">
      <alignment horizontal="center"/>
      <protection locked="0"/>
    </xf>
    <xf numFmtId="0" fontId="2" fillId="0" borderId="114" xfId="62" applyFont="1" applyBorder="1" applyAlignment="1" applyProtection="1">
      <alignment horizontal="center"/>
      <protection locked="0"/>
    </xf>
    <xf numFmtId="0" fontId="2" fillId="0" borderId="31" xfId="62" applyFont="1" applyBorder="1" applyAlignment="1" applyProtection="1">
      <alignment horizontal="center"/>
      <protection locked="0"/>
    </xf>
    <xf numFmtId="0" fontId="9" fillId="0" borderId="41" xfId="62" applyFont="1" applyFill="1" applyBorder="1" applyProtection="1">
      <protection locked="0"/>
    </xf>
    <xf numFmtId="0" fontId="9" fillId="0" borderId="13" xfId="62" applyFont="1" applyFill="1" applyBorder="1" applyProtection="1">
      <protection locked="0"/>
    </xf>
    <xf numFmtId="0" fontId="86" fillId="0" borderId="35" xfId="62" applyFont="1" applyFill="1" applyBorder="1" applyAlignment="1" applyProtection="1">
      <alignment horizontal="center"/>
      <protection locked="0"/>
    </xf>
    <xf numFmtId="2" fontId="86" fillId="0" borderId="40" xfId="62" applyNumberFormat="1" applyFont="1" applyFill="1" applyBorder="1" applyAlignment="1" applyProtection="1">
      <alignment horizontal="center"/>
      <protection locked="0"/>
    </xf>
    <xf numFmtId="2" fontId="86" fillId="0" borderId="22" xfId="62" applyNumberFormat="1" applyFont="1" applyFill="1" applyBorder="1" applyAlignment="1" applyProtection="1">
      <alignment horizontal="center"/>
      <protection locked="0"/>
    </xf>
    <xf numFmtId="2" fontId="9" fillId="0" borderId="22" xfId="62" applyNumberFormat="1" applyFont="1" applyFill="1" applyBorder="1" applyAlignment="1" applyProtection="1">
      <alignment horizontal="center"/>
      <protection locked="0"/>
    </xf>
    <xf numFmtId="2" fontId="9" fillId="0" borderId="5" xfId="62" applyNumberFormat="1" applyFont="1" applyFill="1" applyBorder="1" applyAlignment="1" applyProtection="1">
      <alignment horizontal="center"/>
      <protection locked="0"/>
    </xf>
    <xf numFmtId="2" fontId="9" fillId="0" borderId="0" xfId="62" applyNumberFormat="1" applyFont="1" applyFill="1" applyBorder="1" applyAlignment="1" applyProtection="1">
      <alignment horizontal="center"/>
      <protection locked="0"/>
    </xf>
    <xf numFmtId="2" fontId="9" fillId="0" borderId="13" xfId="62" applyNumberFormat="1" applyFont="1" applyFill="1" applyBorder="1" applyAlignment="1" applyProtection="1">
      <alignment horizontal="center"/>
      <protection locked="0"/>
    </xf>
    <xf numFmtId="0" fontId="86" fillId="0" borderId="41" xfId="62" applyFont="1" applyFill="1" applyBorder="1" applyAlignment="1" applyProtection="1">
      <alignment horizontal="centerContinuous"/>
      <protection locked="0"/>
    </xf>
    <xf numFmtId="0" fontId="87" fillId="0" borderId="22" xfId="62" applyFont="1" applyFill="1" applyBorder="1" applyAlignment="1" applyProtection="1">
      <alignment horizontal="center"/>
      <protection locked="0"/>
    </xf>
    <xf numFmtId="0" fontId="9" fillId="0" borderId="35" xfId="62" applyFont="1" applyFill="1" applyBorder="1" applyAlignment="1" applyProtection="1">
      <alignment horizontal="center"/>
      <protection locked="0"/>
    </xf>
    <xf numFmtId="0" fontId="9" fillId="0" borderId="41" xfId="62" applyFont="1" applyBorder="1" applyAlignment="1" applyProtection="1">
      <alignment horizontal="center"/>
      <protection locked="0"/>
    </xf>
    <xf numFmtId="0" fontId="9" fillId="0" borderId="41" xfId="62" applyFont="1" applyFill="1" applyBorder="1" applyAlignment="1" applyProtection="1">
      <alignment horizontal="center"/>
      <protection locked="0"/>
    </xf>
    <xf numFmtId="1" fontId="9" fillId="0" borderId="41" xfId="62" applyNumberFormat="1" applyFont="1" applyFill="1" applyBorder="1" applyAlignment="1" applyProtection="1">
      <alignment horizontal="center"/>
      <protection locked="0"/>
    </xf>
    <xf numFmtId="166" fontId="9" fillId="0" borderId="41" xfId="62" applyNumberFormat="1" applyFont="1" applyFill="1" applyBorder="1" applyAlignment="1" applyProtection="1">
      <alignment horizontal="left"/>
      <protection locked="0"/>
    </xf>
    <xf numFmtId="166" fontId="9" fillId="0" borderId="41" xfId="62" applyNumberFormat="1" applyFont="1" applyFill="1" applyBorder="1" applyAlignment="1" applyProtection="1">
      <alignment horizontal="center"/>
      <protection locked="0"/>
    </xf>
    <xf numFmtId="166" fontId="9" fillId="0" borderId="40" xfId="62" applyNumberFormat="1" applyFont="1" applyFill="1" applyBorder="1" applyAlignment="1" applyProtection="1">
      <alignment horizontal="center"/>
      <protection locked="0"/>
    </xf>
    <xf numFmtId="166" fontId="9" fillId="0" borderId="22" xfId="62" applyNumberFormat="1" applyFont="1" applyFill="1" applyBorder="1" applyAlignment="1" applyProtection="1">
      <alignment horizontal="center"/>
      <protection locked="0"/>
    </xf>
    <xf numFmtId="166" fontId="9" fillId="0" borderId="42" xfId="62" applyNumberFormat="1" applyFont="1" applyFill="1" applyBorder="1" applyAlignment="1" applyProtection="1">
      <alignment horizontal="center"/>
      <protection locked="0"/>
    </xf>
    <xf numFmtId="166" fontId="9" fillId="0" borderId="35" xfId="62" applyNumberFormat="1" applyFont="1" applyFill="1" applyBorder="1" applyAlignment="1" applyProtection="1">
      <alignment horizontal="center"/>
      <protection locked="0"/>
    </xf>
    <xf numFmtId="2" fontId="9" fillId="0" borderId="35" xfId="62" applyNumberFormat="1" applyFont="1" applyBorder="1" applyAlignment="1" applyProtection="1">
      <alignment horizontal="center"/>
      <protection locked="0"/>
    </xf>
    <xf numFmtId="0" fontId="9" fillId="0" borderId="35" xfId="62" applyFont="1" applyBorder="1" applyAlignment="1" applyProtection="1">
      <alignment horizontal="center"/>
      <protection locked="0"/>
    </xf>
    <xf numFmtId="0" fontId="9" fillId="0" borderId="32" xfId="62" applyFont="1" applyFill="1" applyBorder="1" applyProtection="1">
      <protection locked="0"/>
    </xf>
    <xf numFmtId="2" fontId="9" fillId="0" borderId="12" xfId="62" applyNumberFormat="1" applyFont="1" applyFill="1" applyBorder="1" applyAlignment="1" applyProtection="1">
      <alignment horizontal="center"/>
      <protection locked="0"/>
    </xf>
    <xf numFmtId="0" fontId="87" fillId="0" borderId="25" xfId="62" applyFont="1" applyFill="1" applyBorder="1" applyAlignment="1" applyProtection="1">
      <alignment horizontal="center"/>
      <protection locked="0"/>
    </xf>
    <xf numFmtId="0" fontId="9" fillId="0" borderId="31" xfId="62" applyFont="1" applyFill="1" applyBorder="1" applyAlignment="1" applyProtection="1">
      <alignment horizontal="center"/>
      <protection locked="0"/>
    </xf>
    <xf numFmtId="0" fontId="9" fillId="0" borderId="32" xfId="62" applyFont="1" applyFill="1" applyBorder="1" applyAlignment="1" applyProtection="1">
      <alignment horizontal="center"/>
      <protection locked="0"/>
    </xf>
    <xf numFmtId="166" fontId="9" fillId="0" borderId="32" xfId="62" applyNumberFormat="1" applyFont="1" applyFill="1" applyBorder="1" applyAlignment="1" applyProtection="1">
      <alignment horizontal="center"/>
      <protection locked="0"/>
    </xf>
    <xf numFmtId="166" fontId="9" fillId="0" borderId="43" xfId="62" applyNumberFormat="1" applyFont="1" applyFill="1" applyBorder="1" applyAlignment="1" applyProtection="1">
      <alignment horizontal="center"/>
      <protection locked="0"/>
    </xf>
    <xf numFmtId="166" fontId="9" fillId="0" borderId="9" xfId="62" applyNumberFormat="1" applyFont="1" applyFill="1" applyBorder="1" applyAlignment="1" applyProtection="1">
      <alignment horizontal="center"/>
      <protection locked="0"/>
    </xf>
    <xf numFmtId="0" fontId="9" fillId="0" borderId="31" xfId="62" applyFont="1" applyBorder="1" applyAlignment="1" applyProtection="1">
      <alignment horizontal="center"/>
      <protection locked="0"/>
    </xf>
    <xf numFmtId="0" fontId="9" fillId="0" borderId="22" xfId="62" applyFont="1" applyFill="1" applyBorder="1" applyAlignment="1" applyProtection="1">
      <alignment horizontal="center"/>
      <protection locked="0"/>
    </xf>
    <xf numFmtId="1" fontId="9" fillId="0" borderId="32" xfId="62" applyNumberFormat="1" applyFont="1" applyFill="1" applyBorder="1" applyAlignment="1" applyProtection="1">
      <alignment horizontal="center"/>
      <protection locked="0"/>
    </xf>
    <xf numFmtId="166" fontId="9" fillId="0" borderId="32" xfId="62" applyNumberFormat="1" applyFont="1" applyFill="1" applyBorder="1" applyAlignment="1" applyProtection="1">
      <alignment horizontal="left"/>
      <protection locked="0"/>
    </xf>
    <xf numFmtId="166" fontId="9" fillId="0" borderId="25" xfId="62" applyNumberFormat="1" applyFont="1" applyFill="1" applyBorder="1" applyAlignment="1" applyProtection="1">
      <alignment horizontal="center"/>
      <protection locked="0"/>
    </xf>
    <xf numFmtId="166" fontId="9" fillId="0" borderId="31" xfId="62" applyNumberFormat="1" applyFont="1" applyFill="1" applyBorder="1" applyAlignment="1" applyProtection="1">
      <alignment horizontal="center"/>
      <protection locked="0"/>
    </xf>
    <xf numFmtId="0" fontId="9" fillId="0" borderId="0" xfId="62" applyFont="1" applyFill="1" applyBorder="1" applyProtection="1">
      <protection locked="0"/>
    </xf>
    <xf numFmtId="2" fontId="9" fillId="0" borderId="43" xfId="62" applyNumberFormat="1" applyFont="1" applyFill="1" applyBorder="1" applyAlignment="1" applyProtection="1">
      <alignment horizontal="center"/>
      <protection locked="0"/>
    </xf>
    <xf numFmtId="2" fontId="9" fillId="0" borderId="25" xfId="62" applyNumberFormat="1" applyFont="1" applyFill="1" applyBorder="1" applyAlignment="1" applyProtection="1">
      <alignment horizontal="center"/>
      <protection locked="0"/>
    </xf>
    <xf numFmtId="0" fontId="9" fillId="0" borderId="32" xfId="62" applyFont="1" applyFill="1" applyBorder="1" applyAlignment="1" applyProtection="1">
      <alignment horizontal="centerContinuous"/>
      <protection locked="0"/>
    </xf>
    <xf numFmtId="0" fontId="9" fillId="0" borderId="25" xfId="62" applyFont="1" applyFill="1" applyBorder="1" applyAlignment="1" applyProtection="1">
      <alignment horizontal="center"/>
      <protection locked="0"/>
    </xf>
    <xf numFmtId="166" fontId="88" fillId="0" borderId="32" xfId="62" applyNumberFormat="1" applyFont="1" applyFill="1" applyBorder="1" applyAlignment="1" applyProtection="1">
      <alignment horizontal="left"/>
      <protection locked="0"/>
    </xf>
    <xf numFmtId="166" fontId="88" fillId="0" borderId="41" xfId="62" applyNumberFormat="1" applyFont="1" applyFill="1" applyBorder="1" applyAlignment="1" applyProtection="1">
      <alignment horizontal="left"/>
      <protection locked="0"/>
    </xf>
    <xf numFmtId="0" fontId="86" fillId="0" borderId="31" xfId="62" applyFont="1" applyFill="1" applyBorder="1" applyAlignment="1" applyProtection="1">
      <alignment horizontal="center"/>
      <protection locked="0"/>
    </xf>
    <xf numFmtId="2" fontId="86" fillId="0" borderId="25" xfId="62" applyNumberFormat="1" applyFont="1" applyFill="1" applyBorder="1" applyAlignment="1" applyProtection="1">
      <alignment horizontal="center"/>
      <protection locked="0"/>
    </xf>
    <xf numFmtId="2" fontId="9" fillId="0" borderId="40" xfId="62" applyNumberFormat="1" applyFont="1" applyFill="1" applyBorder="1" applyAlignment="1" applyProtection="1">
      <alignment horizontal="center"/>
      <protection locked="0"/>
    </xf>
    <xf numFmtId="0" fontId="9" fillId="0" borderId="41" xfId="62" applyFont="1" applyFill="1" applyBorder="1" applyAlignment="1" applyProtection="1">
      <alignment horizontal="centerContinuous"/>
      <protection locked="0"/>
    </xf>
    <xf numFmtId="166" fontId="88" fillId="0" borderId="32" xfId="62" applyNumberFormat="1" applyFont="1" applyFill="1" applyBorder="1" applyAlignment="1" applyProtection="1">
      <alignment horizontal="center"/>
      <protection locked="0"/>
    </xf>
    <xf numFmtId="2" fontId="9" fillId="0" borderId="31" xfId="62" applyNumberFormat="1" applyFont="1" applyBorder="1" applyProtection="1">
      <protection locked="0"/>
    </xf>
    <xf numFmtId="0" fontId="9" fillId="0" borderId="31" xfId="62" applyFont="1" applyBorder="1" applyProtection="1">
      <protection locked="0"/>
    </xf>
    <xf numFmtId="0" fontId="2" fillId="0" borderId="115" xfId="62" applyFont="1" applyFill="1" applyBorder="1" applyProtection="1">
      <protection locked="0"/>
    </xf>
    <xf numFmtId="0" fontId="9" fillId="0" borderId="97" xfId="62" applyFont="1" applyFill="1" applyBorder="1" applyProtection="1">
      <protection locked="0"/>
    </xf>
    <xf numFmtId="0" fontId="9" fillId="0" borderId="116" xfId="62" applyFont="1" applyFill="1" applyBorder="1" applyAlignment="1" applyProtection="1">
      <alignment horizontal="center"/>
      <protection locked="0"/>
    </xf>
    <xf numFmtId="2" fontId="9" fillId="0" borderId="56" xfId="62" applyNumberFormat="1" applyFont="1" applyFill="1" applyBorder="1" applyAlignment="1" applyProtection="1">
      <alignment horizontal="center"/>
      <protection locked="0"/>
    </xf>
    <xf numFmtId="2" fontId="9" fillId="0" borderId="1" xfId="62" applyNumberFormat="1" applyFont="1" applyFill="1" applyBorder="1" applyAlignment="1" applyProtection="1">
      <alignment horizontal="center"/>
      <protection locked="0"/>
    </xf>
    <xf numFmtId="2" fontId="9" fillId="0" borderId="19" xfId="62" applyNumberFormat="1" applyFont="1" applyFill="1" applyBorder="1" applyAlignment="1" applyProtection="1">
      <alignment horizontal="center"/>
      <protection locked="0"/>
    </xf>
    <xf numFmtId="2" fontId="9" fillId="0" borderId="97" xfId="62" applyNumberFormat="1" applyFont="1" applyFill="1" applyBorder="1" applyAlignment="1" applyProtection="1">
      <alignment horizontal="center"/>
      <protection locked="0"/>
    </xf>
    <xf numFmtId="0" fontId="9" fillId="0" borderId="115" xfId="62" applyFont="1" applyFill="1" applyBorder="1" applyAlignment="1" applyProtection="1">
      <alignment horizontal="centerContinuous"/>
      <protection locked="0"/>
    </xf>
    <xf numFmtId="0" fontId="9" fillId="0" borderId="1" xfId="62" applyFont="1" applyFill="1" applyBorder="1" applyAlignment="1" applyProtection="1">
      <alignment horizontal="center"/>
      <protection locked="0"/>
    </xf>
    <xf numFmtId="0" fontId="9" fillId="0" borderId="115" xfId="62" applyFont="1" applyFill="1" applyBorder="1" applyAlignment="1" applyProtection="1">
      <alignment horizontal="center"/>
      <protection locked="0"/>
    </xf>
    <xf numFmtId="1" fontId="9" fillId="0" borderId="115" xfId="62" applyNumberFormat="1" applyFont="1" applyFill="1" applyBorder="1" applyAlignment="1" applyProtection="1">
      <alignment horizontal="center"/>
      <protection locked="0"/>
    </xf>
    <xf numFmtId="166" fontId="9" fillId="0" borderId="115" xfId="62" applyNumberFormat="1" applyFont="1" applyFill="1" applyBorder="1" applyAlignment="1" applyProtection="1">
      <alignment horizontal="left"/>
      <protection locked="0"/>
    </xf>
    <xf numFmtId="166" fontId="9" fillId="0" borderId="115" xfId="62" applyNumberFormat="1" applyFont="1" applyFill="1" applyBorder="1" applyAlignment="1" applyProtection="1">
      <alignment horizontal="center"/>
      <protection locked="0"/>
    </xf>
    <xf numFmtId="166" fontId="9" fillId="0" borderId="117" xfId="62" applyNumberFormat="1" applyFont="1" applyFill="1" applyBorder="1" applyAlignment="1" applyProtection="1">
      <alignment horizontal="center"/>
      <protection locked="0"/>
    </xf>
    <xf numFmtId="166" fontId="9" fillId="0" borderId="1" xfId="62" applyNumberFormat="1" applyFont="1" applyFill="1" applyBorder="1" applyAlignment="1" applyProtection="1">
      <alignment horizontal="center"/>
      <protection locked="0"/>
    </xf>
    <xf numFmtId="166" fontId="9" fillId="0" borderId="118" xfId="62" applyNumberFormat="1" applyFont="1" applyFill="1" applyBorder="1" applyAlignment="1" applyProtection="1">
      <alignment horizontal="center"/>
      <protection locked="0"/>
    </xf>
    <xf numFmtId="2" fontId="9" fillId="0" borderId="116" xfId="62" applyNumberFormat="1" applyFont="1" applyBorder="1" applyProtection="1">
      <protection locked="0"/>
    </xf>
    <xf numFmtId="0" fontId="9" fillId="0" borderId="116" xfId="62" applyFont="1" applyBorder="1" applyProtection="1">
      <protection locked="0"/>
    </xf>
    <xf numFmtId="0" fontId="9" fillId="0" borderId="115" xfId="62" applyFont="1" applyFill="1" applyBorder="1" applyProtection="1">
      <protection locked="0"/>
    </xf>
    <xf numFmtId="0" fontId="86" fillId="0" borderId="116" xfId="62" applyFont="1" applyFill="1" applyBorder="1" applyAlignment="1" applyProtection="1">
      <alignment horizontal="center"/>
      <protection locked="0"/>
    </xf>
    <xf numFmtId="2" fontId="86" fillId="0" borderId="117" xfId="62" applyNumberFormat="1" applyFont="1" applyFill="1" applyBorder="1" applyAlignment="1" applyProtection="1">
      <alignment horizontal="center"/>
      <protection locked="0"/>
    </xf>
    <xf numFmtId="2" fontId="86" fillId="0" borderId="1" xfId="62" applyNumberFormat="1" applyFont="1" applyFill="1" applyBorder="1" applyAlignment="1" applyProtection="1">
      <alignment horizontal="center"/>
      <protection locked="0"/>
    </xf>
    <xf numFmtId="166" fontId="9" fillId="0" borderId="115" xfId="62" applyNumberFormat="1" applyFont="1" applyFill="1" applyBorder="1" applyAlignment="1" applyProtection="1">
      <alignment horizontal="centerContinuous"/>
      <protection locked="0"/>
    </xf>
    <xf numFmtId="166" fontId="9" fillId="0" borderId="116" xfId="62" applyNumberFormat="1" applyFont="1" applyFill="1" applyBorder="1" applyAlignment="1" applyProtection="1">
      <alignment horizontal="center"/>
      <protection locked="0"/>
    </xf>
    <xf numFmtId="0" fontId="9" fillId="0" borderId="115" xfId="62" applyFont="1" applyBorder="1" applyAlignment="1" applyProtection="1">
      <alignment horizontal="center"/>
      <protection locked="0"/>
    </xf>
    <xf numFmtId="2" fontId="9" fillId="0" borderId="35" xfId="62" applyNumberFormat="1" applyFont="1" applyBorder="1" applyProtection="1">
      <protection locked="0"/>
    </xf>
    <xf numFmtId="0" fontId="9" fillId="0" borderId="35" xfId="62" applyFont="1" applyBorder="1" applyProtection="1">
      <protection locked="0"/>
    </xf>
    <xf numFmtId="2" fontId="9" fillId="0" borderId="117" xfId="62" applyNumberFormat="1" applyFont="1" applyFill="1" applyBorder="1" applyAlignment="1" applyProtection="1">
      <alignment horizontal="center"/>
      <protection locked="0"/>
    </xf>
    <xf numFmtId="0" fontId="86" fillId="0" borderId="25" xfId="62" applyFont="1" applyFill="1" applyBorder="1" applyAlignment="1" applyProtection="1">
      <alignment horizontal="center"/>
      <protection locked="0"/>
    </xf>
    <xf numFmtId="2" fontId="86" fillId="0" borderId="21" xfId="62" applyNumberFormat="1" applyFont="1" applyFill="1" applyBorder="1" applyAlignment="1" applyProtection="1">
      <alignment horizontal="center"/>
      <protection locked="0"/>
    </xf>
    <xf numFmtId="2" fontId="9" fillId="0" borderId="21" xfId="62" applyNumberFormat="1" applyFont="1" applyFill="1" applyBorder="1" applyAlignment="1" applyProtection="1">
      <alignment horizontal="center"/>
      <protection locked="0"/>
    </xf>
    <xf numFmtId="2" fontId="86" fillId="0" borderId="24" xfId="62" applyNumberFormat="1" applyFont="1" applyFill="1" applyBorder="1" applyAlignment="1" applyProtection="1">
      <alignment horizontal="center"/>
      <protection locked="0"/>
    </xf>
    <xf numFmtId="2" fontId="9" fillId="0" borderId="24" xfId="62" applyNumberFormat="1" applyFont="1" applyFill="1" applyBorder="1" applyAlignment="1" applyProtection="1">
      <alignment horizontal="center"/>
      <protection locked="0"/>
    </xf>
    <xf numFmtId="166" fontId="9" fillId="0" borderId="32" xfId="62" applyNumberFormat="1" applyFont="1" applyFill="1" applyBorder="1" applyAlignment="1" applyProtection="1">
      <alignment horizontal="centerContinuous"/>
      <protection locked="0"/>
    </xf>
    <xf numFmtId="2" fontId="86" fillId="0" borderId="32" xfId="62" applyNumberFormat="1" applyFont="1" applyFill="1" applyBorder="1" applyAlignment="1" applyProtection="1">
      <alignment horizontal="center"/>
      <protection locked="0"/>
    </xf>
    <xf numFmtId="0" fontId="87" fillId="0" borderId="32" xfId="62" applyFont="1" applyFill="1" applyBorder="1" applyAlignment="1" applyProtection="1">
      <alignment horizontal="centerContinuous"/>
      <protection locked="0"/>
    </xf>
    <xf numFmtId="0" fontId="9" fillId="0" borderId="32" xfId="62" applyFont="1" applyBorder="1" applyProtection="1">
      <protection locked="0"/>
    </xf>
    <xf numFmtId="166" fontId="87" fillId="0" borderId="32" xfId="62" applyNumberFormat="1" applyFont="1" applyFill="1" applyBorder="1" applyAlignment="1" applyProtection="1">
      <alignment horizontal="centerContinuous"/>
      <protection locked="0"/>
    </xf>
    <xf numFmtId="0" fontId="9" fillId="0" borderId="56" xfId="62" applyFont="1" applyFill="1" applyBorder="1" applyAlignment="1" applyProtection="1">
      <alignment horizontal="center"/>
      <protection locked="0"/>
    </xf>
    <xf numFmtId="0" fontId="9" fillId="0" borderId="5" xfId="62" applyFont="1" applyFill="1" applyBorder="1" applyAlignment="1" applyProtection="1">
      <alignment horizontal="center"/>
      <protection locked="0"/>
    </xf>
    <xf numFmtId="0" fontId="9" fillId="0" borderId="32" xfId="0" applyFont="1" applyFill="1" applyBorder="1" applyProtection="1">
      <protection locked="0"/>
    </xf>
    <xf numFmtId="1" fontId="88" fillId="0" borderId="32" xfId="62" applyNumberFormat="1" applyFont="1" applyFill="1" applyBorder="1" applyAlignment="1" applyProtection="1">
      <alignment horizontal="center"/>
      <protection locked="0"/>
    </xf>
    <xf numFmtId="0" fontId="9" fillId="0" borderId="32" xfId="62" applyFont="1" applyFill="1" applyBorder="1" applyAlignment="1" applyProtection="1">
      <alignment wrapText="1"/>
      <protection locked="0"/>
    </xf>
    <xf numFmtId="0" fontId="9" fillId="0" borderId="24" xfId="62" applyFont="1" applyFill="1" applyBorder="1" applyAlignment="1" applyProtection="1">
      <alignment horizontal="center"/>
      <protection locked="0"/>
    </xf>
    <xf numFmtId="1" fontId="9" fillId="0" borderId="38" xfId="62" applyNumberFormat="1" applyFont="1" applyFill="1" applyBorder="1" applyAlignment="1" applyProtection="1">
      <alignment horizontal="center"/>
      <protection locked="0"/>
    </xf>
    <xf numFmtId="1" fontId="9" fillId="0" borderId="25" xfId="62" applyNumberFormat="1" applyFont="1" applyFill="1" applyBorder="1" applyAlignment="1" applyProtection="1">
      <alignment horizontal="center"/>
      <protection locked="0"/>
    </xf>
    <xf numFmtId="1" fontId="9" fillId="0" borderId="31" xfId="62" applyNumberFormat="1" applyFont="1" applyFill="1" applyBorder="1" applyAlignment="1" applyProtection="1">
      <alignment horizontal="center"/>
      <protection locked="0"/>
    </xf>
    <xf numFmtId="0" fontId="9" fillId="0" borderId="9" xfId="62" applyFont="1" applyFill="1" applyBorder="1" applyAlignment="1" applyProtection="1">
      <alignment horizontal="center"/>
      <protection locked="0"/>
    </xf>
    <xf numFmtId="0" fontId="9" fillId="0" borderId="0" xfId="62" applyFont="1" applyFill="1" applyBorder="1" applyAlignment="1" applyProtection="1">
      <alignment horizontal="center"/>
      <protection locked="0"/>
    </xf>
    <xf numFmtId="0" fontId="9" fillId="0" borderId="0" xfId="62" applyFont="1" applyProtection="1">
      <protection locked="0"/>
    </xf>
    <xf numFmtId="0" fontId="2" fillId="0" borderId="57" xfId="0" applyFont="1" applyBorder="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0" fontId="2" fillId="0" borderId="63" xfId="0" applyFont="1" applyBorder="1" applyProtection="1">
      <protection locked="0"/>
    </xf>
    <xf numFmtId="0" fontId="2" fillId="0" borderId="119" xfId="0" applyFont="1" applyBorder="1" applyAlignment="1" applyProtection="1">
      <alignment horizontal="center"/>
      <protection locked="0"/>
    </xf>
    <xf numFmtId="0" fontId="2" fillId="0" borderId="120" xfId="0" applyFont="1" applyBorder="1" applyAlignment="1" applyProtection="1">
      <alignment horizontal="center"/>
      <protection locked="0"/>
    </xf>
    <xf numFmtId="0" fontId="2" fillId="0" borderId="121" xfId="0" applyFont="1" applyBorder="1" applyAlignment="1" applyProtection="1">
      <alignment horizontal="center"/>
      <protection locked="0"/>
    </xf>
    <xf numFmtId="0" fontId="2" fillId="0" borderId="122" xfId="0" applyFont="1" applyBorder="1" applyAlignment="1" applyProtection="1">
      <alignment horizontal="center"/>
      <protection locked="0"/>
    </xf>
    <xf numFmtId="0" fontId="2" fillId="0" borderId="64" xfId="0" applyFont="1" applyBorder="1" applyAlignment="1" applyProtection="1">
      <alignment horizontal="center"/>
      <protection locked="0"/>
    </xf>
    <xf numFmtId="0" fontId="2" fillId="0" borderId="63" xfId="0" applyFont="1" applyBorder="1" applyAlignment="1" applyProtection="1">
      <alignment horizontal="center"/>
      <protection locked="0"/>
    </xf>
    <xf numFmtId="166" fontId="2" fillId="0" borderId="57" xfId="0" applyNumberFormat="1" applyFont="1" applyFill="1" applyBorder="1" applyAlignment="1" applyProtection="1">
      <alignment horizontal="center"/>
      <protection locked="0"/>
    </xf>
    <xf numFmtId="0" fontId="2" fillId="0" borderId="121" xfId="0" applyFont="1" applyFill="1" applyBorder="1" applyAlignment="1" applyProtection="1">
      <alignment horizontal="center"/>
      <protection locked="0"/>
    </xf>
    <xf numFmtId="0" fontId="2" fillId="0" borderId="57" xfId="0" applyFont="1" applyBorder="1" applyAlignment="1" applyProtection="1">
      <alignment horizontal="center"/>
      <protection locked="0"/>
    </xf>
    <xf numFmtId="0" fontId="2" fillId="5" borderId="57" xfId="0" applyFont="1" applyFill="1" applyBorder="1" applyAlignment="1" applyProtection="1">
      <alignment horizontal="center"/>
      <protection locked="0"/>
    </xf>
    <xf numFmtId="0" fontId="9" fillId="0" borderId="38" xfId="62" applyFont="1" applyFill="1" applyBorder="1" applyAlignment="1" applyProtection="1">
      <alignment horizontal="left"/>
      <protection locked="0"/>
    </xf>
    <xf numFmtId="0" fontId="9" fillId="0" borderId="50" xfId="62" applyFont="1" applyFill="1" applyBorder="1" applyAlignment="1" applyProtection="1">
      <alignment horizontal="center"/>
      <protection locked="0"/>
    </xf>
    <xf numFmtId="0" fontId="9" fillId="0" borderId="31" xfId="0" applyFont="1" applyFill="1" applyBorder="1" applyAlignment="1" applyProtection="1">
      <alignment horizontal="center"/>
      <protection locked="0"/>
    </xf>
    <xf numFmtId="166" fontId="9" fillId="0" borderId="32" xfId="0" applyNumberFormat="1" applyFont="1" applyFill="1" applyBorder="1" applyAlignment="1" applyProtection="1">
      <alignment horizontal="center"/>
      <protection locked="0"/>
    </xf>
    <xf numFmtId="0" fontId="9" fillId="0" borderId="25" xfId="0" applyFont="1" applyFill="1" applyBorder="1" applyAlignment="1" applyProtection="1">
      <alignment horizontal="center"/>
      <protection locked="0"/>
    </xf>
    <xf numFmtId="0" fontId="9" fillId="0" borderId="32" xfId="0" applyFont="1" applyFill="1" applyBorder="1" applyAlignment="1" applyProtection="1">
      <alignment horizontal="center"/>
      <protection locked="0"/>
    </xf>
    <xf numFmtId="0" fontId="9" fillId="5" borderId="32" xfId="0" applyFont="1" applyFill="1" applyBorder="1" applyAlignment="1" applyProtection="1">
      <alignment horizontal="center"/>
      <protection locked="0"/>
    </xf>
    <xf numFmtId="166" fontId="9" fillId="0" borderId="41" xfId="0" applyNumberFormat="1" applyFont="1" applyBorder="1" applyAlignment="1" applyProtection="1">
      <alignment horizontal="center"/>
      <protection locked="0"/>
    </xf>
    <xf numFmtId="166" fontId="9" fillId="0" borderId="40" xfId="0" applyNumberFormat="1" applyFont="1" applyBorder="1" applyAlignment="1" applyProtection="1">
      <alignment horizontal="center"/>
      <protection locked="0"/>
    </xf>
    <xf numFmtId="166" fontId="9" fillId="0" borderId="22" xfId="0" applyNumberFormat="1" applyFont="1" applyBorder="1" applyAlignment="1" applyProtection="1">
      <alignment horizontal="center"/>
      <protection locked="0"/>
    </xf>
    <xf numFmtId="166" fontId="9" fillId="0" borderId="42" xfId="0" applyNumberFormat="1" applyFont="1" applyBorder="1" applyAlignment="1" applyProtection="1">
      <alignment horizontal="center"/>
      <protection locked="0"/>
    </xf>
    <xf numFmtId="2" fontId="9" fillId="5" borderId="32" xfId="0" applyNumberFormat="1" applyFont="1" applyFill="1" applyBorder="1" applyAlignment="1" applyProtection="1">
      <alignment horizontal="center"/>
      <protection locked="0"/>
    </xf>
    <xf numFmtId="0" fontId="9" fillId="0" borderId="43" xfId="0" applyFont="1" applyFill="1" applyBorder="1" applyAlignment="1" applyProtection="1">
      <alignment horizontal="center"/>
      <protection locked="0"/>
    </xf>
    <xf numFmtId="2" fontId="9" fillId="0" borderId="25" xfId="0" applyNumberFormat="1" applyFont="1" applyFill="1" applyBorder="1" applyAlignment="1" applyProtection="1">
      <alignment horizontal="center"/>
      <protection locked="0"/>
    </xf>
    <xf numFmtId="166" fontId="88" fillId="0" borderId="32" xfId="0" applyNumberFormat="1" applyFont="1" applyFill="1" applyBorder="1" applyAlignment="1" applyProtection="1">
      <alignment horizontal="center"/>
      <protection locked="0"/>
    </xf>
    <xf numFmtId="2" fontId="9" fillId="0" borderId="32" xfId="0" applyNumberFormat="1" applyFont="1" applyFill="1" applyBorder="1" applyAlignment="1" applyProtection="1">
      <alignment horizontal="center"/>
      <protection locked="0"/>
    </xf>
    <xf numFmtId="166" fontId="9" fillId="0" borderId="32" xfId="0" applyNumberFormat="1" applyFont="1" applyBorder="1" applyAlignment="1" applyProtection="1">
      <alignment horizontal="center"/>
      <protection locked="0"/>
    </xf>
    <xf numFmtId="166" fontId="9" fillId="0" borderId="43" xfId="0" applyNumberFormat="1" applyFont="1" applyBorder="1" applyAlignment="1" applyProtection="1">
      <alignment horizontal="center"/>
      <protection locked="0"/>
    </xf>
    <xf numFmtId="166" fontId="9" fillId="0" borderId="25" xfId="0" applyNumberFormat="1" applyFont="1" applyBorder="1" applyAlignment="1" applyProtection="1">
      <alignment horizontal="center"/>
      <protection locked="0"/>
    </xf>
    <xf numFmtId="166" fontId="9" fillId="0" borderId="9" xfId="0" applyNumberFormat="1" applyFont="1" applyBorder="1" applyAlignment="1" applyProtection="1">
      <alignment horizontal="center"/>
      <protection locked="0"/>
    </xf>
    <xf numFmtId="2" fontId="9" fillId="0" borderId="43" xfId="0" applyNumberFormat="1" applyFont="1" applyFill="1" applyBorder="1" applyAlignment="1" applyProtection="1">
      <alignment horizontal="center"/>
      <protection locked="0"/>
    </xf>
    <xf numFmtId="2" fontId="9" fillId="0" borderId="5" xfId="0" applyNumberFormat="1" applyFont="1" applyFill="1" applyBorder="1" applyAlignment="1" applyProtection="1">
      <alignment horizontal="center"/>
      <protection locked="0"/>
    </xf>
    <xf numFmtId="2" fontId="9" fillId="0" borderId="0" xfId="0" applyNumberFormat="1" applyFont="1" applyFill="1" applyBorder="1" applyAlignment="1" applyProtection="1">
      <alignment horizontal="center"/>
      <protection locked="0"/>
    </xf>
    <xf numFmtId="2" fontId="9" fillId="0" borderId="43" xfId="62" applyNumberFormat="1" applyFont="1" applyBorder="1" applyAlignment="1" applyProtection="1">
      <alignment horizontal="center"/>
      <protection locked="0"/>
    </xf>
    <xf numFmtId="2" fontId="9" fillId="0" borderId="25" xfId="62" applyNumberFormat="1" applyFont="1" applyBorder="1" applyAlignment="1" applyProtection="1">
      <alignment horizontal="center"/>
      <protection locked="0"/>
    </xf>
    <xf numFmtId="0" fontId="2" fillId="0" borderId="115" xfId="0" applyFont="1" applyFill="1" applyBorder="1" applyProtection="1">
      <protection locked="0"/>
    </xf>
    <xf numFmtId="0" fontId="9" fillId="0" borderId="116" xfId="0"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2" fontId="9" fillId="0" borderId="115" xfId="0" applyNumberFormat="1" applyFont="1" applyFill="1" applyBorder="1" applyAlignment="1" applyProtection="1">
      <alignment horizontal="center"/>
      <protection locked="0"/>
    </xf>
    <xf numFmtId="2" fontId="9" fillId="5" borderId="115" xfId="0" applyNumberFormat="1" applyFont="1" applyFill="1" applyBorder="1" applyAlignment="1" applyProtection="1">
      <alignment horizontal="center"/>
      <protection locked="0"/>
    </xf>
    <xf numFmtId="0" fontId="9" fillId="0" borderId="115" xfId="0" applyFont="1" applyFill="1" applyBorder="1" applyAlignment="1" applyProtection="1">
      <alignment horizontal="center"/>
      <protection locked="0"/>
    </xf>
    <xf numFmtId="166" fontId="9" fillId="0" borderId="115" xfId="62" applyNumberFormat="1" applyFont="1" applyFill="1" applyBorder="1" applyAlignment="1" applyProtection="1">
      <protection locked="0"/>
    </xf>
    <xf numFmtId="0" fontId="34" fillId="0" borderId="0" xfId="0" applyFont="1" applyProtection="1">
      <protection locked="0"/>
    </xf>
    <xf numFmtId="0" fontId="9" fillId="0" borderId="0" xfId="0" applyFont="1" applyFill="1" applyBorder="1" applyAlignment="1" applyProtection="1">
      <alignment vertical="top"/>
      <protection locked="0"/>
    </xf>
    <xf numFmtId="0" fontId="9" fillId="0" borderId="31" xfId="0" applyFont="1" applyFill="1" applyBorder="1" applyAlignment="1" applyProtection="1">
      <alignment horizontal="center" vertical="top"/>
      <protection locked="0"/>
    </xf>
    <xf numFmtId="0" fontId="86" fillId="0" borderId="43" xfId="0" applyFont="1" applyFill="1" applyBorder="1" applyAlignment="1" applyProtection="1">
      <alignment horizontal="center" vertical="top"/>
      <protection locked="0"/>
    </xf>
    <xf numFmtId="0" fontId="86" fillId="0" borderId="25" xfId="0" applyFont="1" applyFill="1" applyBorder="1" applyAlignment="1" applyProtection="1">
      <alignment horizontal="center" vertical="top"/>
      <protection locked="0"/>
    </xf>
    <xf numFmtId="2" fontId="9" fillId="0" borderId="25" xfId="0" applyNumberFormat="1" applyFont="1" applyFill="1" applyBorder="1" applyAlignment="1" applyProtection="1">
      <alignment horizontal="center" vertical="top"/>
      <protection locked="0"/>
    </xf>
    <xf numFmtId="2" fontId="9" fillId="0" borderId="5" xfId="62" applyNumberFormat="1" applyFont="1" applyFill="1" applyBorder="1" applyAlignment="1" applyProtection="1">
      <alignment horizontal="center" vertical="top"/>
      <protection locked="0"/>
    </xf>
    <xf numFmtId="2" fontId="9" fillId="0" borderId="0" xfId="62" applyNumberFormat="1" applyFont="1" applyFill="1" applyBorder="1" applyAlignment="1" applyProtection="1">
      <alignment horizontal="center" vertical="top"/>
      <protection locked="0"/>
    </xf>
    <xf numFmtId="166" fontId="9" fillId="0" borderId="32" xfId="62" applyNumberFormat="1" applyFont="1" applyFill="1" applyBorder="1" applyAlignment="1" applyProtection="1">
      <alignment horizontal="center" vertical="top"/>
      <protection locked="0"/>
    </xf>
    <xf numFmtId="0" fontId="9" fillId="0" borderId="25" xfId="0" applyFont="1" applyFill="1" applyBorder="1" applyAlignment="1" applyProtection="1">
      <alignment horizontal="center" vertical="top"/>
      <protection locked="0"/>
    </xf>
    <xf numFmtId="2" fontId="9" fillId="0" borderId="32" xfId="0" applyNumberFormat="1" applyFont="1" applyFill="1" applyBorder="1" applyAlignment="1" applyProtection="1">
      <alignment horizontal="center" vertical="top"/>
      <protection locked="0"/>
    </xf>
    <xf numFmtId="2" fontId="9" fillId="5" borderId="32" xfId="0" applyNumberFormat="1" applyFont="1" applyFill="1" applyBorder="1" applyAlignment="1" applyProtection="1">
      <alignment horizontal="center" vertical="top"/>
      <protection locked="0"/>
    </xf>
    <xf numFmtId="0" fontId="9" fillId="0" borderId="32" xfId="0" applyFont="1" applyFill="1" applyBorder="1" applyAlignment="1" applyProtection="1">
      <alignment horizontal="center" vertical="top"/>
      <protection locked="0"/>
    </xf>
    <xf numFmtId="0" fontId="34" fillId="0" borderId="0" xfId="0" applyFont="1" applyAlignment="1" applyProtection="1">
      <alignment horizontal="center"/>
      <protection locked="0"/>
    </xf>
    <xf numFmtId="0" fontId="86" fillId="0" borderId="0" xfId="0" applyFont="1" applyFill="1" applyBorder="1" applyAlignment="1" applyProtection="1">
      <alignment horizontal="center" vertical="top"/>
      <protection locked="0"/>
    </xf>
    <xf numFmtId="166" fontId="9" fillId="0" borderId="24" xfId="0" applyNumberFormat="1" applyFont="1" applyBorder="1" applyAlignment="1" applyProtection="1">
      <alignment horizontal="center"/>
      <protection locked="0"/>
    </xf>
    <xf numFmtId="166" fontId="9" fillId="0" borderId="50" xfId="0" applyNumberFormat="1" applyFont="1" applyBorder="1" applyAlignment="1" applyProtection="1">
      <alignment horizontal="center"/>
      <protection locked="0"/>
    </xf>
    <xf numFmtId="166" fontId="9" fillId="0" borderId="5" xfId="62" applyNumberFormat="1" applyFont="1" applyFill="1" applyBorder="1" applyAlignment="1" applyProtection="1">
      <alignment horizontal="center"/>
      <protection locked="0"/>
    </xf>
    <xf numFmtId="166" fontId="9" fillId="0" borderId="50" xfId="62" applyNumberFormat="1" applyFont="1" applyFill="1" applyBorder="1" applyAlignment="1" applyProtection="1">
      <alignment horizontal="center"/>
      <protection locked="0"/>
    </xf>
    <xf numFmtId="166" fontId="9" fillId="0" borderId="24" xfId="62" applyNumberFormat="1" applyFont="1" applyFill="1" applyBorder="1" applyAlignment="1" applyProtection="1">
      <alignment horizontal="center"/>
      <protection locked="0"/>
    </xf>
    <xf numFmtId="0" fontId="2" fillId="0" borderId="46" xfId="62" applyFont="1" applyBorder="1" applyAlignment="1" applyProtection="1">
      <alignment horizontal="center"/>
      <protection locked="0"/>
    </xf>
    <xf numFmtId="0" fontId="2" fillId="0" borderId="47" xfId="62" applyFont="1" applyBorder="1" applyAlignment="1" applyProtection="1">
      <alignment horizontal="center"/>
      <protection locked="0"/>
    </xf>
    <xf numFmtId="0" fontId="2" fillId="0" borderId="48" xfId="62" applyFont="1" applyBorder="1" applyAlignment="1" applyProtection="1">
      <alignment horizontal="center"/>
      <protection locked="0"/>
    </xf>
    <xf numFmtId="0" fontId="9" fillId="0" borderId="0" xfId="62" applyFont="1" applyBorder="1" applyAlignment="1" applyProtection="1">
      <alignment horizontal="center"/>
      <protection locked="0"/>
    </xf>
    <xf numFmtId="166" fontId="87" fillId="0" borderId="32" xfId="62" applyNumberFormat="1" applyFont="1" applyFill="1" applyBorder="1" applyAlignment="1" applyProtection="1">
      <alignment horizontal="center"/>
      <protection locked="0"/>
    </xf>
    <xf numFmtId="1" fontId="9" fillId="0" borderId="31" xfId="62" applyNumberFormat="1" applyFont="1" applyBorder="1" applyAlignment="1" applyProtection="1">
      <alignment horizontal="center"/>
      <protection locked="0"/>
    </xf>
    <xf numFmtId="0" fontId="2" fillId="0" borderId="46" xfId="62" applyFont="1" applyBorder="1" applyAlignment="1" applyProtection="1">
      <protection locked="0"/>
    </xf>
    <xf numFmtId="0" fontId="2" fillId="5" borderId="45" xfId="62" applyFont="1" applyFill="1" applyBorder="1" applyAlignment="1" applyProtection="1">
      <protection locked="0"/>
    </xf>
    <xf numFmtId="0" fontId="2" fillId="0" borderId="54" xfId="62" applyFont="1" applyBorder="1" applyAlignment="1" applyProtection="1">
      <alignment horizontal="center"/>
      <protection locked="0"/>
    </xf>
    <xf numFmtId="0" fontId="2" fillId="0" borderId="44" xfId="62" applyFont="1" applyBorder="1" applyAlignment="1" applyProtection="1">
      <alignment horizontal="center"/>
      <protection locked="0"/>
    </xf>
    <xf numFmtId="0" fontId="2" fillId="0" borderId="45" xfId="62" applyFont="1" applyBorder="1" applyAlignment="1" applyProtection="1">
      <alignment horizontal="center"/>
      <protection locked="0"/>
    </xf>
    <xf numFmtId="0" fontId="2" fillId="0" borderId="47" xfId="62" applyFont="1" applyFill="1" applyBorder="1" applyAlignment="1" applyProtection="1">
      <alignment horizontal="center"/>
      <protection locked="0"/>
    </xf>
    <xf numFmtId="0" fontId="9" fillId="5" borderId="30" xfId="62" applyFont="1" applyFill="1" applyBorder="1" applyAlignment="1" applyProtection="1">
      <alignment horizontal="center"/>
      <protection locked="0"/>
    </xf>
    <xf numFmtId="0" fontId="2" fillId="5" borderId="46" xfId="62" applyFont="1" applyFill="1" applyBorder="1" applyAlignment="1" applyProtection="1">
      <alignment horizontal="center"/>
      <protection locked="0"/>
    </xf>
    <xf numFmtId="1" fontId="2" fillId="0" borderId="29" xfId="62" applyNumberFormat="1" applyFont="1" applyBorder="1" applyAlignment="1" applyProtection="1">
      <alignment horizontal="center"/>
      <protection locked="0"/>
    </xf>
    <xf numFmtId="0" fontId="2" fillId="0" borderId="0" xfId="62" applyFont="1" applyBorder="1" applyAlignment="1" applyProtection="1">
      <alignment horizontal="center"/>
      <protection locked="0"/>
    </xf>
    <xf numFmtId="0" fontId="9" fillId="5" borderId="32" xfId="62" applyFont="1" applyFill="1" applyBorder="1" applyAlignment="1" applyProtection="1">
      <alignment horizontal="center"/>
      <protection locked="0"/>
    </xf>
    <xf numFmtId="0" fontId="9" fillId="0" borderId="31" xfId="62" applyFont="1" applyBorder="1" applyAlignment="1" applyProtection="1">
      <alignment horizontal="left"/>
      <protection locked="0"/>
    </xf>
    <xf numFmtId="0" fontId="79" fillId="0" borderId="32" xfId="62" applyFont="1" applyBorder="1" applyProtection="1">
      <protection locked="0"/>
    </xf>
    <xf numFmtId="0" fontId="79" fillId="5" borderId="0" xfId="62" applyFont="1" applyFill="1" applyBorder="1" applyProtection="1">
      <protection locked="0"/>
    </xf>
    <xf numFmtId="2" fontId="86" fillId="0" borderId="43" xfId="0" applyNumberFormat="1" applyFont="1" applyFill="1" applyBorder="1" applyAlignment="1" applyProtection="1">
      <alignment horizontal="center"/>
      <protection locked="0"/>
    </xf>
    <xf numFmtId="2" fontId="86" fillId="0" borderId="25" xfId="0" applyNumberFormat="1" applyFont="1" applyFill="1" applyBorder="1" applyAlignment="1" applyProtection="1">
      <alignment horizontal="center"/>
      <protection locked="0"/>
    </xf>
    <xf numFmtId="0" fontId="79" fillId="5" borderId="32" xfId="62" applyFont="1" applyFill="1" applyBorder="1" applyAlignment="1" applyProtection="1">
      <alignment horizontal="center"/>
      <protection locked="0"/>
    </xf>
    <xf numFmtId="0" fontId="9" fillId="0" borderId="9" xfId="62" applyFont="1" applyBorder="1" applyAlignment="1" applyProtection="1">
      <alignment horizontal="center"/>
      <protection locked="0"/>
    </xf>
    <xf numFmtId="2" fontId="86" fillId="0" borderId="25" xfId="0" applyNumberFormat="1" applyFont="1" applyFill="1" applyBorder="1" applyAlignment="1" applyProtection="1">
      <alignment horizontal="left"/>
      <protection locked="0"/>
    </xf>
    <xf numFmtId="1" fontId="9" fillId="0" borderId="32" xfId="62" applyNumberFormat="1" applyFont="1" applyBorder="1" applyAlignment="1" applyProtection="1">
      <alignment horizontal="center"/>
      <protection locked="0"/>
    </xf>
    <xf numFmtId="0" fontId="9" fillId="0" borderId="0" xfId="62" applyFont="1" applyFill="1" applyProtection="1">
      <protection locked="0"/>
    </xf>
    <xf numFmtId="0" fontId="9" fillId="0" borderId="0" xfId="62" applyFill="1" applyAlignment="1" applyProtection="1">
      <alignment horizontal="center"/>
      <protection locked="0"/>
    </xf>
    <xf numFmtId="0" fontId="12" fillId="0" borderId="0" xfId="62" applyFont="1" applyBorder="1" applyAlignment="1" applyProtection="1">
      <alignment horizontal="center"/>
      <protection locked="0"/>
    </xf>
    <xf numFmtId="0" fontId="5" fillId="51" borderId="0" xfId="62" applyFont="1" applyFill="1" applyBorder="1" applyAlignment="1" applyProtection="1">
      <alignment horizontal="left"/>
      <protection locked="0"/>
    </xf>
    <xf numFmtId="0" fontId="9" fillId="51" borderId="3" xfId="62" applyFont="1" applyFill="1" applyBorder="1" applyAlignment="1" applyProtection="1">
      <alignment horizontal="center"/>
      <protection locked="0"/>
    </xf>
    <xf numFmtId="1" fontId="13" fillId="51" borderId="5" xfId="37" applyNumberFormat="1" applyFont="1" applyFill="1" applyBorder="1" applyAlignment="1" applyProtection="1">
      <alignment horizontal="center" vertical="center"/>
      <protection locked="0"/>
    </xf>
    <xf numFmtId="1" fontId="13" fillId="51" borderId="6" xfId="37" applyNumberFormat="1" applyFont="1" applyFill="1" applyBorder="1" applyAlignment="1" applyProtection="1">
      <alignment horizontal="center"/>
      <protection locked="0"/>
    </xf>
    <xf numFmtId="0" fontId="85" fillId="51" borderId="0" xfId="62" applyFont="1" applyFill="1" applyBorder="1" applyAlignment="1" applyProtection="1">
      <alignment horizontal="left" vertical="top"/>
      <protection locked="0"/>
    </xf>
    <xf numFmtId="0" fontId="2" fillId="51" borderId="30" xfId="62" applyFont="1" applyFill="1" applyBorder="1" applyAlignment="1" applyProtection="1">
      <alignment horizontal="center"/>
      <protection locked="0"/>
    </xf>
    <xf numFmtId="2" fontId="9" fillId="51" borderId="41" xfId="62" applyNumberFormat="1" applyFont="1" applyFill="1" applyBorder="1" applyAlignment="1" applyProtection="1">
      <alignment horizontal="center"/>
      <protection locked="0"/>
    </xf>
    <xf numFmtId="2" fontId="9" fillId="51" borderId="32" xfId="62" applyNumberFormat="1" applyFont="1" applyFill="1" applyBorder="1" applyAlignment="1" applyProtection="1">
      <alignment horizontal="center"/>
      <protection locked="0"/>
    </xf>
    <xf numFmtId="2" fontId="88" fillId="51" borderId="32" xfId="62" applyNumberFormat="1" applyFont="1" applyFill="1" applyBorder="1" applyAlignment="1" applyProtection="1">
      <alignment horizontal="center"/>
      <protection locked="0"/>
    </xf>
    <xf numFmtId="2" fontId="9" fillId="51" borderId="115" xfId="62" applyNumberFormat="1" applyFont="1" applyFill="1" applyBorder="1" applyAlignment="1" applyProtection="1">
      <alignment horizontal="center"/>
      <protection locked="0"/>
    </xf>
    <xf numFmtId="43" fontId="9" fillId="51" borderId="41" xfId="31" applyNumberFormat="1" applyFont="1" applyFill="1" applyBorder="1" applyAlignment="1" applyProtection="1">
      <alignment horizontal="center"/>
      <protection locked="0"/>
    </xf>
    <xf numFmtId="43" fontId="9" fillId="51" borderId="32" xfId="31" applyNumberFormat="1" applyFont="1" applyFill="1" applyBorder="1" applyAlignment="1" applyProtection="1">
      <alignment horizontal="center"/>
      <protection locked="0"/>
    </xf>
    <xf numFmtId="43" fontId="9" fillId="51" borderId="115" xfId="31" applyNumberFormat="1" applyFont="1" applyFill="1" applyBorder="1" applyAlignment="1" applyProtection="1">
      <alignment horizontal="center"/>
      <protection locked="0"/>
    </xf>
    <xf numFmtId="43" fontId="9" fillId="51" borderId="5" xfId="31" applyNumberFormat="1" applyFont="1" applyFill="1" applyBorder="1" applyAlignment="1" applyProtection="1">
      <alignment horizontal="center"/>
      <protection locked="0"/>
    </xf>
    <xf numFmtId="166" fontId="9" fillId="51" borderId="32" xfId="62" applyNumberFormat="1" applyFont="1" applyFill="1" applyBorder="1" applyAlignment="1" applyProtection="1">
      <alignment horizontal="center"/>
      <protection locked="0"/>
    </xf>
    <xf numFmtId="0" fontId="9" fillId="51" borderId="0" xfId="62" applyFont="1" applyFill="1" applyBorder="1" applyAlignment="1" applyProtection="1">
      <alignment horizontal="center"/>
      <protection locked="0"/>
    </xf>
    <xf numFmtId="1" fontId="59" fillId="51" borderId="5" xfId="49" applyNumberFormat="1" applyFont="1" applyFill="1" applyBorder="1" applyAlignment="1" applyProtection="1">
      <alignment horizontal="center"/>
      <protection locked="0"/>
    </xf>
    <xf numFmtId="0" fontId="6" fillId="51" borderId="6" xfId="42" applyFont="1" applyFill="1" applyBorder="1" applyAlignment="1" applyProtection="1">
      <alignment horizontal="center" vertical="center" wrapText="1"/>
      <protection locked="0"/>
    </xf>
    <xf numFmtId="0" fontId="2" fillId="51" borderId="112" xfId="62" applyFont="1" applyFill="1" applyBorder="1" applyAlignment="1" applyProtection="1">
      <alignment horizontal="center"/>
      <protection locked="0"/>
    </xf>
    <xf numFmtId="166" fontId="9" fillId="51" borderId="40" xfId="62" applyNumberFormat="1" applyFont="1" applyFill="1" applyBorder="1" applyAlignment="1" applyProtection="1">
      <alignment horizontal="center"/>
      <protection locked="0"/>
    </xf>
    <xf numFmtId="166" fontId="9" fillId="51" borderId="43" xfId="62" applyNumberFormat="1" applyFont="1" applyFill="1" applyBorder="1" applyAlignment="1" applyProtection="1">
      <alignment horizontal="center"/>
      <protection locked="0"/>
    </xf>
    <xf numFmtId="166" fontId="88" fillId="51" borderId="43" xfId="62" applyNumberFormat="1" applyFont="1" applyFill="1" applyBorder="1" applyAlignment="1" applyProtection="1">
      <alignment horizontal="center"/>
      <protection locked="0"/>
    </xf>
    <xf numFmtId="166" fontId="9" fillId="51" borderId="117" xfId="62" applyNumberFormat="1" applyFont="1" applyFill="1" applyBorder="1" applyAlignment="1" applyProtection="1">
      <alignment horizontal="center"/>
      <protection locked="0"/>
    </xf>
    <xf numFmtId="0" fontId="9" fillId="51" borderId="24" xfId="62" applyFont="1" applyFill="1" applyBorder="1" applyAlignment="1" applyProtection="1">
      <alignment horizontal="center"/>
      <protection locked="0"/>
    </xf>
    <xf numFmtId="166" fontId="9" fillId="51" borderId="24" xfId="62" applyNumberFormat="1" applyFont="1" applyFill="1" applyBorder="1" applyAlignment="1" applyProtection="1">
      <alignment horizontal="center"/>
      <protection locked="0"/>
    </xf>
    <xf numFmtId="0" fontId="2" fillId="51" borderId="30" xfId="42" applyFont="1" applyFill="1" applyBorder="1" applyAlignment="1" applyProtection="1">
      <alignment horizontal="center" vertical="center" wrapText="1"/>
      <protection locked="0"/>
    </xf>
    <xf numFmtId="0" fontId="2" fillId="51" borderId="32" xfId="42" applyFont="1" applyFill="1" applyBorder="1" applyAlignment="1" applyProtection="1">
      <alignment horizontal="center" vertical="center" wrapText="1"/>
      <protection locked="0"/>
    </xf>
    <xf numFmtId="0" fontId="2" fillId="51" borderId="34" xfId="42" applyFont="1" applyFill="1" applyBorder="1" applyAlignment="1" applyProtection="1">
      <alignment horizontal="center" vertical="center" wrapText="1"/>
      <protection locked="0"/>
    </xf>
    <xf numFmtId="2" fontId="9" fillId="51" borderId="41" xfId="37" applyNumberFormat="1" applyFont="1" applyFill="1" applyBorder="1" applyAlignment="1" applyProtection="1">
      <alignment horizontal="center"/>
      <protection locked="0"/>
    </xf>
    <xf numFmtId="2" fontId="9" fillId="51" borderId="32" xfId="37" applyNumberFormat="1" applyFont="1" applyFill="1" applyBorder="1" applyAlignment="1" applyProtection="1">
      <alignment horizontal="center"/>
      <protection locked="0"/>
    </xf>
    <xf numFmtId="2" fontId="9" fillId="51" borderId="115" xfId="37" applyNumberFormat="1" applyFont="1" applyFill="1" applyBorder="1" applyAlignment="1" applyProtection="1">
      <alignment horizontal="center"/>
      <protection locked="0"/>
    </xf>
    <xf numFmtId="2" fontId="2" fillId="51" borderId="30" xfId="62" applyNumberFormat="1" applyFont="1" applyFill="1" applyBorder="1" applyAlignment="1" applyProtection="1">
      <alignment horizontal="center"/>
      <protection locked="0"/>
    </xf>
    <xf numFmtId="0" fontId="9" fillId="0" borderId="24" xfId="0" applyFont="1" applyFill="1" applyBorder="1" applyAlignment="1" applyProtection="1">
      <alignment horizontal="center" vertical="top"/>
      <protection locked="0"/>
    </xf>
    <xf numFmtId="166" fontId="9" fillId="0" borderId="31" xfId="62" applyNumberFormat="1" applyFont="1" applyFill="1" applyBorder="1" applyAlignment="1" applyProtection="1">
      <alignment horizontal="left"/>
      <protection locked="0"/>
    </xf>
    <xf numFmtId="0" fontId="0" fillId="0" borderId="0" xfId="0" applyBorder="1" applyAlignment="1" applyProtection="1">
      <alignment horizontal="center"/>
    </xf>
    <xf numFmtId="0" fontId="9" fillId="0" borderId="0" xfId="0" applyFont="1" applyBorder="1" applyAlignment="1" applyProtection="1">
      <alignment horizontal="left"/>
    </xf>
    <xf numFmtId="0" fontId="9" fillId="0" borderId="51" xfId="0" applyFont="1" applyBorder="1" applyAlignment="1" applyProtection="1">
      <alignment horizontal="center"/>
    </xf>
    <xf numFmtId="0" fontId="9" fillId="0" borderId="50" xfId="0" applyFont="1" applyBorder="1" applyAlignment="1" applyProtection="1">
      <alignment horizontal="center"/>
    </xf>
    <xf numFmtId="0" fontId="9" fillId="0" borderId="108" xfId="0" applyFont="1" applyBorder="1" applyAlignment="1" applyProtection="1"/>
    <xf numFmtId="0" fontId="12" fillId="0" borderId="0" xfId="0" applyFont="1" applyBorder="1" applyAlignment="1" applyProtection="1">
      <alignment horizontal="left" vertical="center"/>
    </xf>
    <xf numFmtId="0" fontId="13" fillId="0" borderId="0" xfId="0" applyFont="1" applyFill="1" applyAlignment="1" applyProtection="1">
      <alignment horizontal="left"/>
    </xf>
    <xf numFmtId="0" fontId="13" fillId="0" borderId="0" xfId="0" applyFont="1" applyFill="1" applyBorder="1" applyAlignment="1" applyProtection="1">
      <alignment horizontal="left"/>
    </xf>
    <xf numFmtId="0" fontId="0" fillId="0" borderId="2" xfId="0" applyBorder="1" applyProtection="1"/>
    <xf numFmtId="0" fontId="0" fillId="0" borderId="0" xfId="0" applyFill="1" applyBorder="1" applyAlignment="1" applyProtection="1">
      <alignment horizontal="center"/>
    </xf>
    <xf numFmtId="166" fontId="0" fillId="0" borderId="0" xfId="0" applyNumberFormat="1" applyAlignment="1" applyProtection="1">
      <alignment vertical="center"/>
      <protection hidden="1"/>
    </xf>
    <xf numFmtId="0" fontId="9" fillId="0" borderId="0" xfId="0" applyFont="1" applyFill="1" applyAlignment="1">
      <alignment horizontal="center"/>
    </xf>
    <xf numFmtId="0" fontId="13" fillId="0" borderId="0" xfId="0" applyFont="1" applyBorder="1" applyAlignment="1" applyProtection="1">
      <alignment horizontal="left"/>
    </xf>
    <xf numFmtId="0" fontId="0" fillId="0" borderId="0" xfId="0" applyAlignment="1" applyProtection="1">
      <alignment horizontal="left"/>
    </xf>
    <xf numFmtId="2" fontId="0" fillId="0" borderId="50" xfId="0" applyNumberFormat="1" applyFill="1" applyBorder="1" applyAlignment="1" applyProtection="1">
      <alignment horizontal="center" vertical="center"/>
      <protection locked="0" hidden="1"/>
    </xf>
    <xf numFmtId="0" fontId="2" fillId="0" borderId="0" xfId="0" applyFont="1" applyBorder="1"/>
    <xf numFmtId="0" fontId="2" fillId="0" borderId="0" xfId="0" applyFont="1" applyFill="1" applyBorder="1" applyAlignment="1">
      <alignment horizontal="center"/>
    </xf>
    <xf numFmtId="0" fontId="9" fillId="0" borderId="0" xfId="0" applyFont="1" applyBorder="1" applyAlignment="1">
      <alignment horizontal="center"/>
    </xf>
    <xf numFmtId="166" fontId="0" fillId="0" borderId="0" xfId="0" applyNumberFormat="1" applyFill="1" applyBorder="1" applyAlignment="1" applyProtection="1">
      <alignment horizontal="center" vertical="center"/>
      <protection locked="0"/>
    </xf>
    <xf numFmtId="0" fontId="12" fillId="0" borderId="0" xfId="0" applyFont="1" applyAlignment="1" applyProtection="1">
      <alignment horizontal="center" vertical="center"/>
      <protection hidden="1"/>
    </xf>
    <xf numFmtId="0" fontId="9" fillId="0" borderId="64" xfId="0" applyFont="1" applyFill="1" applyBorder="1" applyAlignment="1">
      <alignment horizontal="center"/>
    </xf>
    <xf numFmtId="0" fontId="9" fillId="0" borderId="63" xfId="0" applyFont="1" applyFill="1" applyBorder="1" applyAlignment="1">
      <alignment horizontal="center"/>
    </xf>
    <xf numFmtId="0" fontId="9" fillId="0" borderId="119" xfId="0" applyFont="1" applyFill="1" applyBorder="1" applyAlignment="1">
      <alignment horizontal="center"/>
    </xf>
    <xf numFmtId="0" fontId="9" fillId="0" borderId="121" xfId="0" applyFont="1" applyFill="1" applyBorder="1" applyAlignment="1">
      <alignment horizontal="center"/>
    </xf>
    <xf numFmtId="166" fontId="0" fillId="52" borderId="123" xfId="0" applyNumberFormat="1" applyFill="1" applyBorder="1" applyAlignment="1" applyProtection="1">
      <alignment horizontal="center" vertical="center"/>
      <protection locked="0"/>
    </xf>
    <xf numFmtId="166" fontId="0" fillId="52" borderId="124" xfId="0" applyNumberFormat="1" applyFill="1" applyBorder="1" applyAlignment="1" applyProtection="1">
      <alignment horizontal="center" vertical="center"/>
      <protection locked="0"/>
    </xf>
    <xf numFmtId="166" fontId="0" fillId="52" borderId="125" xfId="0" applyNumberFormat="1" applyFill="1" applyBorder="1" applyAlignment="1" applyProtection="1">
      <alignment horizontal="center" vertical="center"/>
      <protection locked="0"/>
    </xf>
    <xf numFmtId="166" fontId="0" fillId="52" borderId="126" xfId="0" applyNumberFormat="1" applyFill="1" applyBorder="1" applyAlignment="1" applyProtection="1">
      <alignment horizontal="center" vertical="center"/>
      <protection locked="0"/>
    </xf>
    <xf numFmtId="166" fontId="0" fillId="52" borderId="127" xfId="0" applyNumberFormat="1" applyFill="1" applyBorder="1" applyAlignment="1" applyProtection="1">
      <alignment horizontal="center" vertical="center"/>
      <protection locked="0"/>
    </xf>
    <xf numFmtId="166" fontId="0" fillId="52" borderId="128" xfId="0" applyNumberFormat="1" applyFill="1" applyBorder="1" applyAlignment="1" applyProtection="1">
      <alignment horizontal="center" vertical="center"/>
      <protection locked="0"/>
    </xf>
    <xf numFmtId="166" fontId="0" fillId="52" borderId="129" xfId="0" applyNumberFormat="1" applyFill="1" applyBorder="1" applyAlignment="1" applyProtection="1">
      <alignment horizontal="center" vertical="center"/>
      <protection locked="0"/>
    </xf>
    <xf numFmtId="166" fontId="0" fillId="52" borderId="130" xfId="0" applyNumberFormat="1" applyFill="1" applyBorder="1" applyAlignment="1" applyProtection="1">
      <alignment horizontal="center" vertical="center"/>
      <protection locked="0"/>
    </xf>
    <xf numFmtId="166" fontId="0" fillId="51" borderId="0" xfId="0" applyNumberFormat="1" applyFill="1" applyAlignment="1" applyProtection="1">
      <alignment vertical="center"/>
      <protection hidden="1"/>
    </xf>
    <xf numFmtId="1" fontId="0" fillId="0" borderId="0" xfId="0" applyNumberFormat="1" applyAlignment="1" applyProtection="1">
      <alignment vertical="center"/>
      <protection hidden="1"/>
    </xf>
    <xf numFmtId="2" fontId="0" fillId="0" borderId="0" xfId="0" applyNumberFormat="1" applyAlignment="1" applyProtection="1">
      <alignment vertical="center"/>
      <protection hidden="1"/>
    </xf>
    <xf numFmtId="1" fontId="9" fillId="0" borderId="0" xfId="62" applyNumberFormat="1" applyFill="1" applyBorder="1" applyAlignment="1" applyProtection="1">
      <alignment horizontal="center" vertical="center"/>
      <protection locked="0" hidden="1"/>
    </xf>
    <xf numFmtId="0" fontId="0" fillId="0" borderId="0" xfId="0" applyFill="1" applyBorder="1" applyAlignment="1" applyProtection="1"/>
    <xf numFmtId="166" fontId="0" fillId="48" borderId="0" xfId="0" applyNumberFormat="1" applyFill="1" applyAlignment="1" applyProtection="1">
      <alignment vertical="center"/>
      <protection hidden="1"/>
    </xf>
    <xf numFmtId="166" fontId="0" fillId="48" borderId="0" xfId="0" applyNumberFormat="1" applyFill="1" applyBorder="1" applyAlignment="1" applyProtection="1">
      <alignment horizontal="center"/>
    </xf>
    <xf numFmtId="0" fontId="9" fillId="0" borderId="0" xfId="62" applyAlignment="1" applyProtection="1">
      <alignment horizontal="center" wrapText="1"/>
      <protection locked="0"/>
    </xf>
    <xf numFmtId="0" fontId="2" fillId="0" borderId="5" xfId="62" applyFont="1" applyFill="1" applyBorder="1" applyAlignment="1" applyProtection="1">
      <alignment horizontal="center" wrapText="1"/>
      <protection locked="0"/>
    </xf>
    <xf numFmtId="166" fontId="9" fillId="0" borderId="0" xfId="62" applyNumberFormat="1" applyFont="1" applyFill="1" applyBorder="1" applyAlignment="1" applyProtection="1">
      <alignment horizontal="center"/>
      <protection locked="0"/>
    </xf>
    <xf numFmtId="0" fontId="9" fillId="0" borderId="6" xfId="0" applyFont="1" applyBorder="1" applyAlignment="1" applyProtection="1">
      <alignment vertical="center"/>
    </xf>
    <xf numFmtId="0" fontId="2" fillId="0" borderId="7" xfId="0" applyFont="1" applyBorder="1" applyAlignment="1" applyProtection="1">
      <alignment vertical="center"/>
    </xf>
    <xf numFmtId="0" fontId="2" fillId="0" borderId="7" xfId="0" applyFont="1" applyBorder="1" applyAlignment="1" applyProtection="1">
      <alignment horizontal="center" vertical="center"/>
    </xf>
    <xf numFmtId="0" fontId="9" fillId="48" borderId="0" xfId="0" applyFont="1" applyFill="1" applyAlignment="1" applyProtection="1">
      <alignment vertical="center"/>
      <protection hidden="1"/>
    </xf>
    <xf numFmtId="0" fontId="0" fillId="48" borderId="0" xfId="0" applyFill="1" applyAlignment="1" applyProtection="1">
      <alignment vertical="center"/>
      <protection hidden="1"/>
    </xf>
    <xf numFmtId="1" fontId="2" fillId="0" borderId="3" xfId="0" applyNumberFormat="1" applyFont="1" applyBorder="1" applyAlignment="1" applyProtection="1">
      <alignment horizontal="center" vertical="center"/>
      <protection hidden="1"/>
    </xf>
    <xf numFmtId="0" fontId="2" fillId="0" borderId="64" xfId="0" applyFont="1" applyBorder="1" applyAlignment="1" applyProtection="1">
      <alignment vertical="center"/>
      <protection hidden="1"/>
    </xf>
    <xf numFmtId="0" fontId="2" fillId="0" borderId="63" xfId="0" applyFont="1" applyBorder="1" applyAlignment="1" applyProtection="1">
      <alignment vertical="center"/>
      <protection hidden="1"/>
    </xf>
    <xf numFmtId="1" fontId="2" fillId="0" borderId="64" xfId="0" applyNumberFormat="1" applyFont="1" applyBorder="1" applyAlignment="1" applyProtection="1">
      <alignment horizontal="center" vertical="center"/>
      <protection hidden="1"/>
    </xf>
    <xf numFmtId="0" fontId="0" fillId="4" borderId="0" xfId="0" applyFill="1" applyBorder="1" applyAlignment="1" applyProtection="1">
      <alignment horizontal="center" vertical="center"/>
      <protection locked="0" hidden="1"/>
    </xf>
    <xf numFmtId="1" fontId="0" fillId="4" borderId="0" xfId="0" applyNumberFormat="1" applyFill="1" applyBorder="1" applyAlignment="1" applyProtection="1">
      <alignment horizontal="center" vertical="center"/>
      <protection locked="0" hidden="1"/>
    </xf>
    <xf numFmtId="166" fontId="12" fillId="0" borderId="0" xfId="0" applyNumberFormat="1" applyFont="1" applyAlignment="1" applyProtection="1">
      <alignment vertical="center"/>
      <protection locked="0" hidden="1"/>
    </xf>
    <xf numFmtId="1" fontId="0" fillId="0" borderId="0" xfId="0" applyNumberFormat="1" applyAlignment="1" applyProtection="1">
      <alignment vertical="center"/>
      <protection locked="0" hidden="1"/>
    </xf>
    <xf numFmtId="166" fontId="9" fillId="0" borderId="0" xfId="0" applyNumberFormat="1" applyFont="1" applyAlignment="1" applyProtection="1">
      <alignment vertical="center"/>
      <protection hidden="1"/>
    </xf>
    <xf numFmtId="2" fontId="9" fillId="0" borderId="0" xfId="0" applyNumberFormat="1"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89" fillId="0" borderId="0" xfId="0" applyFont="1" applyAlignment="1" applyProtection="1">
      <alignment vertical="center"/>
      <protection hidden="1"/>
    </xf>
    <xf numFmtId="0" fontId="2" fillId="2" borderId="1" xfId="0" applyFont="1" applyFill="1" applyBorder="1" applyAlignment="1" applyProtection="1">
      <alignment horizontal="center" vertical="center"/>
      <protection locked="0"/>
    </xf>
    <xf numFmtId="0" fontId="2" fillId="0" borderId="0" xfId="0" applyFont="1" applyAlignment="1" applyProtection="1">
      <alignment vertical="center"/>
    </xf>
    <xf numFmtId="0" fontId="12" fillId="2" borderId="1" xfId="0" applyFont="1" applyFill="1" applyBorder="1" applyAlignment="1" applyProtection="1">
      <alignment horizontal="center" vertical="center"/>
      <protection locked="0"/>
    </xf>
    <xf numFmtId="1" fontId="2" fillId="54" borderId="0" xfId="0" applyNumberFormat="1" applyFont="1" applyFill="1" applyAlignment="1" applyProtection="1">
      <alignment horizontal="center" vertical="center"/>
    </xf>
    <xf numFmtId="166" fontId="2" fillId="54" borderId="0" xfId="0" applyNumberFormat="1" applyFont="1" applyFill="1" applyAlignment="1" applyProtection="1">
      <alignment horizontal="center" vertical="center"/>
    </xf>
    <xf numFmtId="0" fontId="2" fillId="0" borderId="0" xfId="0" applyFont="1" applyBorder="1" applyAlignment="1" applyProtection="1">
      <alignment horizontal="left" vertical="center"/>
      <protection locked="0" hidden="1"/>
    </xf>
    <xf numFmtId="0" fontId="2" fillId="5" borderId="0" xfId="0" applyFont="1" applyFill="1" applyAlignment="1" applyProtection="1">
      <alignment horizontal="left" vertical="center"/>
      <protection hidden="1"/>
    </xf>
    <xf numFmtId="0" fontId="2" fillId="5"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2" fillId="5" borderId="0" xfId="0" applyFont="1" applyFill="1" applyBorder="1" applyAlignment="1" applyProtection="1">
      <alignment horizontal="center" vertical="center"/>
      <protection locked="0" hidden="1"/>
    </xf>
    <xf numFmtId="0" fontId="2" fillId="5" borderId="0" xfId="0" applyFont="1" applyFill="1" applyBorder="1" applyAlignment="1" applyProtection="1">
      <alignment horizontal="left" vertical="center"/>
      <protection locked="0" hidden="1"/>
    </xf>
    <xf numFmtId="0" fontId="5" fillId="5" borderId="0" xfId="0" applyFont="1" applyFill="1" applyAlignment="1" applyProtection="1">
      <alignment vertical="center"/>
      <protection hidden="1"/>
    </xf>
    <xf numFmtId="0" fontId="5" fillId="5" borderId="0" xfId="0" applyFont="1" applyFill="1" applyBorder="1" applyAlignment="1" applyProtection="1">
      <alignment vertical="center"/>
      <protection locked="0" hidden="1"/>
    </xf>
    <xf numFmtId="166" fontId="5" fillId="0" borderId="0" xfId="0" applyNumberFormat="1" applyFont="1" applyBorder="1" applyAlignment="1" applyProtection="1">
      <alignment vertical="center"/>
      <protection locked="0" hidden="1"/>
    </xf>
    <xf numFmtId="0" fontId="13" fillId="0" borderId="0" xfId="0" applyFont="1" applyAlignment="1" applyProtection="1">
      <alignment horizontal="center" vertical="center"/>
      <protection hidden="1"/>
    </xf>
    <xf numFmtId="0" fontId="0" fillId="0" borderId="2" xfId="0" applyBorder="1" applyAlignment="1" applyProtection="1">
      <alignment horizontal="center"/>
    </xf>
    <xf numFmtId="0" fontId="13" fillId="49" borderId="0" xfId="0" applyFont="1" applyFill="1" applyBorder="1" applyAlignment="1" applyProtection="1">
      <alignment horizontal="left" vertical="center"/>
    </xf>
    <xf numFmtId="1" fontId="2" fillId="0" borderId="0" xfId="0" applyNumberFormat="1" applyFont="1" applyBorder="1" applyAlignment="1" applyProtection="1">
      <alignment horizontal="center" vertical="center"/>
      <protection locked="0" hidden="1"/>
    </xf>
    <xf numFmtId="0" fontId="4" fillId="49" borderId="0" xfId="0" applyFont="1" applyFill="1" applyBorder="1" applyAlignment="1" applyProtection="1">
      <alignment vertical="center"/>
    </xf>
    <xf numFmtId="0" fontId="78" fillId="0" borderId="30" xfId="0" applyFont="1" applyBorder="1" applyAlignment="1">
      <alignment textRotation="90"/>
    </xf>
    <xf numFmtId="0" fontId="78" fillId="0" borderId="32" xfId="0" applyFont="1" applyBorder="1" applyAlignment="1">
      <alignment textRotation="90"/>
    </xf>
    <xf numFmtId="0" fontId="78" fillId="0" borderId="34" xfId="0" applyFont="1" applyBorder="1" applyAlignment="1">
      <alignment textRotation="90"/>
    </xf>
    <xf numFmtId="0" fontId="2" fillId="0" borderId="5" xfId="62" applyFont="1" applyFill="1" applyBorder="1" applyAlignment="1" applyProtection="1">
      <alignment horizontal="center"/>
      <protection locked="0"/>
    </xf>
    <xf numFmtId="0" fontId="12" fillId="0" borderId="0" xfId="0" applyFont="1" applyFill="1" applyBorder="1" applyProtection="1"/>
    <xf numFmtId="1" fontId="2" fillId="0" borderId="93" xfId="0" applyNumberFormat="1" applyFont="1" applyFill="1" applyBorder="1" applyAlignment="1" applyProtection="1">
      <alignment horizontal="center" vertical="center"/>
      <protection hidden="1"/>
    </xf>
    <xf numFmtId="1" fontId="2" fillId="0" borderId="131" xfId="0" applyNumberFormat="1" applyFont="1" applyFill="1" applyBorder="1" applyAlignment="1" applyProtection="1">
      <alignment horizontal="center" vertical="center"/>
      <protection hidden="1"/>
    </xf>
    <xf numFmtId="0" fontId="2" fillId="50" borderId="29" xfId="0" applyFont="1" applyFill="1" applyBorder="1" applyAlignment="1" applyProtection="1">
      <alignment horizontal="center" vertical="center"/>
    </xf>
    <xf numFmtId="0" fontId="0" fillId="0" borderId="0" xfId="0" applyFill="1" applyBorder="1" applyAlignment="1" applyProtection="1">
      <alignment horizontal="left" vertical="center"/>
    </xf>
    <xf numFmtId="0" fontId="9" fillId="50" borderId="31" xfId="0" applyFont="1" applyFill="1" applyBorder="1" applyAlignment="1" applyProtection="1">
      <alignment horizontal="center" vertical="center"/>
    </xf>
    <xf numFmtId="0" fontId="9" fillId="50" borderId="7" xfId="0" applyFont="1" applyFill="1" applyBorder="1" applyAlignment="1" applyProtection="1">
      <alignment horizontal="center" vertical="center"/>
    </xf>
    <xf numFmtId="0" fontId="9" fillId="50" borderId="33" xfId="0" applyFont="1" applyFill="1" applyBorder="1" applyAlignment="1" applyProtection="1">
      <alignment horizontal="center" vertical="center"/>
    </xf>
    <xf numFmtId="0" fontId="2" fillId="50" borderId="50" xfId="0" applyFont="1" applyFill="1" applyBorder="1" applyAlignment="1" applyProtection="1">
      <alignment horizontal="center" vertical="center"/>
    </xf>
    <xf numFmtId="0" fontId="2" fillId="52" borderId="92" xfId="0" applyFont="1" applyFill="1" applyBorder="1" applyAlignment="1" applyProtection="1">
      <alignment horizontal="center" vertical="center"/>
      <protection locked="0"/>
    </xf>
    <xf numFmtId="0" fontId="2" fillId="52" borderId="132" xfId="0" applyFont="1" applyFill="1" applyBorder="1" applyAlignment="1" applyProtection="1">
      <alignment horizontal="center" vertical="center"/>
      <protection locked="0"/>
    </xf>
    <xf numFmtId="0" fontId="9" fillId="50" borderId="6" xfId="0" applyFont="1" applyFill="1" applyBorder="1" applyAlignment="1" applyProtection="1">
      <alignment horizontal="center" vertical="center"/>
    </xf>
    <xf numFmtId="1" fontId="2" fillId="0" borderId="133" xfId="0" applyNumberFormat="1" applyFont="1" applyFill="1" applyBorder="1" applyAlignment="1" applyProtection="1">
      <alignment horizontal="center" vertical="center"/>
      <protection locked="0" hidden="1"/>
    </xf>
    <xf numFmtId="1" fontId="29" fillId="0" borderId="0" xfId="0" applyNumberFormat="1" applyFont="1" applyFill="1" applyBorder="1" applyAlignment="1" applyProtection="1">
      <alignment horizontal="center" vertical="center"/>
      <protection locked="0" hidden="1"/>
    </xf>
    <xf numFmtId="0" fontId="2" fillId="2" borderId="134" xfId="0" applyFont="1" applyFill="1" applyBorder="1" applyAlignment="1" applyProtection="1">
      <alignment horizontal="center" vertical="center"/>
      <protection locked="0"/>
    </xf>
    <xf numFmtId="0" fontId="2" fillId="0" borderId="135" xfId="0" applyFont="1" applyBorder="1" applyAlignment="1" applyProtection="1">
      <alignment horizontal="center" vertical="center"/>
    </xf>
    <xf numFmtId="0" fontId="2" fillId="2" borderId="136" xfId="0" applyFont="1" applyFill="1" applyBorder="1" applyAlignment="1" applyProtection="1">
      <alignment horizontal="center" vertical="center"/>
      <protection locked="0"/>
    </xf>
    <xf numFmtId="0" fontId="2" fillId="0" borderId="137" xfId="0" applyFont="1" applyBorder="1" applyAlignment="1" applyProtection="1">
      <alignment horizontal="center" vertical="center"/>
    </xf>
    <xf numFmtId="0" fontId="2" fillId="0" borderId="138" xfId="0" applyFont="1" applyBorder="1" applyAlignment="1" applyProtection="1">
      <alignment horizontal="center" vertical="center"/>
    </xf>
    <xf numFmtId="0" fontId="2" fillId="52" borderId="139" xfId="0" applyFont="1" applyFill="1" applyBorder="1" applyAlignment="1" applyProtection="1">
      <alignment horizontal="center" vertical="center"/>
      <protection locked="0"/>
    </xf>
    <xf numFmtId="0" fontId="9" fillId="0" borderId="140" xfId="0" applyFont="1" applyBorder="1" applyAlignment="1" applyProtection="1">
      <alignment vertical="center"/>
    </xf>
    <xf numFmtId="0" fontId="2" fillId="0" borderId="141" xfId="0" applyFont="1" applyBorder="1" applyAlignment="1" applyProtection="1">
      <alignment vertical="center"/>
    </xf>
    <xf numFmtId="0" fontId="2" fillId="0" borderId="141" xfId="0" applyFont="1" applyBorder="1" applyAlignment="1" applyProtection="1">
      <alignment horizontal="center" vertical="center"/>
    </xf>
    <xf numFmtId="0" fontId="2" fillId="0" borderId="142" xfId="0" applyFont="1" applyBorder="1" applyAlignment="1" applyProtection="1">
      <alignment horizontal="center" vertical="center"/>
    </xf>
    <xf numFmtId="0" fontId="2" fillId="0" borderId="0" xfId="0" applyFont="1" applyBorder="1" applyAlignment="1" applyProtection="1">
      <alignment vertical="center"/>
      <protection hidden="1"/>
    </xf>
    <xf numFmtId="0" fontId="13" fillId="0" borderId="5" xfId="0" applyFont="1" applyBorder="1" applyAlignment="1" applyProtection="1">
      <alignment horizontal="left"/>
    </xf>
    <xf numFmtId="0" fontId="12" fillId="0" borderId="31" xfId="0" applyFont="1" applyBorder="1" applyAlignment="1" applyProtection="1">
      <alignment horizontal="center" vertical="center"/>
    </xf>
    <xf numFmtId="0" fontId="29" fillId="0" borderId="64" xfId="0" applyFont="1" applyBorder="1" applyProtection="1"/>
    <xf numFmtId="0" fontId="0" fillId="0" borderId="63" xfId="0" applyBorder="1" applyProtection="1"/>
    <xf numFmtId="0" fontId="9" fillId="0" borderId="63" xfId="0" applyFont="1" applyBorder="1" applyAlignment="1" applyProtection="1">
      <alignment horizontal="left"/>
    </xf>
    <xf numFmtId="0" fontId="12" fillId="0" borderId="63" xfId="0" applyFont="1" applyBorder="1" applyAlignment="1" applyProtection="1">
      <alignment horizontal="center" vertical="center"/>
    </xf>
    <xf numFmtId="0" fontId="12" fillId="0" borderId="119" xfId="0" applyFont="1" applyBorder="1" applyAlignment="1" applyProtection="1">
      <alignment horizontal="center" vertical="center"/>
    </xf>
    <xf numFmtId="0" fontId="13" fillId="0" borderId="10" xfId="0" applyFont="1" applyBorder="1" applyProtection="1"/>
    <xf numFmtId="0" fontId="2" fillId="0" borderId="2" xfId="0" applyFont="1" applyBorder="1" applyAlignment="1" applyProtection="1">
      <alignment vertical="center"/>
      <protection hidden="1"/>
    </xf>
    <xf numFmtId="0" fontId="0" fillId="0" borderId="2" xfId="0" applyBorder="1" applyAlignment="1" applyProtection="1">
      <alignment horizontal="left"/>
    </xf>
    <xf numFmtId="0" fontId="0" fillId="0" borderId="59" xfId="0" applyBorder="1" applyAlignment="1" applyProtection="1">
      <alignment horizontal="center"/>
    </xf>
    <xf numFmtId="0" fontId="13" fillId="0" borderId="56" xfId="0" applyFont="1" applyBorder="1" applyAlignment="1" applyProtection="1">
      <alignment horizontal="left"/>
    </xf>
    <xf numFmtId="0" fontId="13" fillId="0" borderId="97" xfId="0" applyFont="1" applyBorder="1" applyAlignment="1" applyProtection="1">
      <alignment horizontal="left"/>
    </xf>
    <xf numFmtId="0" fontId="2" fillId="0" borderId="97" xfId="0" applyFont="1" applyBorder="1" applyAlignment="1" applyProtection="1">
      <alignment vertical="center"/>
      <protection hidden="1"/>
    </xf>
    <xf numFmtId="0" fontId="12" fillId="0" borderId="97" xfId="0" applyFont="1" applyBorder="1" applyAlignment="1" applyProtection="1">
      <alignment horizontal="center" vertical="center"/>
    </xf>
    <xf numFmtId="0" fontId="12" fillId="0" borderId="116" xfId="0" applyFont="1" applyBorder="1" applyAlignment="1" applyProtection="1">
      <alignment horizontal="center" vertical="center"/>
    </xf>
    <xf numFmtId="0" fontId="13" fillId="0" borderId="0" xfId="0" applyFont="1" applyFill="1" applyBorder="1" applyAlignment="1" applyProtection="1">
      <alignment vertical="center"/>
    </xf>
    <xf numFmtId="0" fontId="9" fillId="0" borderId="53" xfId="0" applyFont="1" applyBorder="1" applyAlignment="1" applyProtection="1">
      <alignment vertical="center"/>
    </xf>
    <xf numFmtId="0" fontId="9" fillId="0" borderId="19" xfId="0" applyFont="1" applyBorder="1" applyAlignment="1" applyProtection="1">
      <alignment vertical="center"/>
    </xf>
    <xf numFmtId="0" fontId="9" fillId="0" borderId="143" xfId="0" applyFont="1" applyBorder="1" applyAlignment="1" applyProtection="1">
      <alignment vertical="center"/>
    </xf>
    <xf numFmtId="0" fontId="9" fillId="0" borderId="86" xfId="0" applyFont="1" applyBorder="1" applyAlignment="1" applyProtection="1">
      <alignment vertical="center"/>
    </xf>
    <xf numFmtId="0" fontId="9" fillId="0" borderId="91" xfId="0" applyFont="1" applyBorder="1" applyAlignment="1" applyProtection="1">
      <alignment vertical="center"/>
    </xf>
    <xf numFmtId="0" fontId="9" fillId="0" borderId="144" xfId="0" applyFont="1" applyBorder="1" applyAlignment="1" applyProtection="1">
      <alignment vertical="center"/>
    </xf>
    <xf numFmtId="0" fontId="2" fillId="50" borderId="112" xfId="0" applyFont="1" applyFill="1" applyBorder="1" applyAlignment="1" applyProtection="1">
      <alignment vertical="center"/>
    </xf>
    <xf numFmtId="0" fontId="2" fillId="50" borderId="55" xfId="0" applyFont="1" applyFill="1" applyBorder="1" applyAlignment="1" applyProtection="1">
      <alignment vertical="center"/>
    </xf>
    <xf numFmtId="0" fontId="9" fillId="50" borderId="5" xfId="0" applyFont="1" applyFill="1" applyBorder="1" applyAlignment="1" applyProtection="1">
      <alignment vertical="center"/>
    </xf>
    <xf numFmtId="0" fontId="9" fillId="50" borderId="24" xfId="0" applyFont="1" applyFill="1" applyBorder="1" applyAlignment="1" applyProtection="1">
      <alignment horizontal="left" vertical="center"/>
    </xf>
    <xf numFmtId="0" fontId="78" fillId="54" borderId="36" xfId="0" applyFont="1" applyFill="1" applyBorder="1" applyAlignment="1">
      <alignment horizontal="center"/>
    </xf>
    <xf numFmtId="0" fontId="79" fillId="0" borderId="101" xfId="0" applyFont="1" applyBorder="1" applyAlignment="1">
      <alignment horizontal="center"/>
    </xf>
    <xf numFmtId="166" fontId="79" fillId="0" borderId="25" xfId="0" applyNumberFormat="1" applyFont="1" applyFill="1" applyBorder="1" applyAlignment="1">
      <alignment horizontal="center" vertical="top"/>
    </xf>
    <xf numFmtId="166" fontId="79" fillId="0" borderId="22" xfId="0" applyNumberFormat="1" applyFont="1" applyFill="1" applyBorder="1" applyAlignment="1">
      <alignment horizontal="center" vertical="top"/>
    </xf>
    <xf numFmtId="165" fontId="79" fillId="0" borderId="25" xfId="0" applyNumberFormat="1" applyFont="1" applyFill="1" applyBorder="1" applyAlignment="1">
      <alignment horizontal="center" vertical="top"/>
    </xf>
    <xf numFmtId="0" fontId="79" fillId="0" borderId="25" xfId="0" applyNumberFormat="1" applyFont="1" applyFill="1" applyBorder="1" applyAlignment="1">
      <alignment horizontal="center" vertical="top"/>
    </xf>
    <xf numFmtId="2" fontId="0" fillId="0" borderId="5" xfId="0" applyNumberFormat="1" applyBorder="1" applyAlignment="1">
      <alignment horizontal="center"/>
    </xf>
    <xf numFmtId="0" fontId="0" fillId="0" borderId="43" xfId="0" applyBorder="1" applyAlignment="1">
      <alignment horizontal="center"/>
    </xf>
    <xf numFmtId="2" fontId="9" fillId="0" borderId="12" xfId="62" applyNumberFormat="1" applyFill="1" applyBorder="1" applyAlignment="1">
      <alignment horizontal="center"/>
    </xf>
    <xf numFmtId="0" fontId="0" fillId="0" borderId="40" xfId="0" applyBorder="1" applyAlignment="1">
      <alignment horizontal="center"/>
    </xf>
    <xf numFmtId="2" fontId="9" fillId="0" borderId="5" xfId="62" applyNumberFormat="1" applyFill="1" applyBorder="1" applyAlignment="1">
      <alignment horizontal="center"/>
    </xf>
    <xf numFmtId="166" fontId="0" fillId="0" borderId="40" xfId="0" applyNumberFormat="1" applyFill="1" applyBorder="1" applyAlignment="1">
      <alignment horizontal="center"/>
    </xf>
    <xf numFmtId="166" fontId="0" fillId="0" borderId="43" xfId="0" applyNumberFormat="1" applyFill="1" applyBorder="1" applyAlignment="1">
      <alignment horizontal="center"/>
    </xf>
    <xf numFmtId="2" fontId="9" fillId="0" borderId="31" xfId="62" applyNumberFormat="1" applyFont="1" applyFill="1" applyBorder="1" applyAlignment="1" applyProtection="1">
      <alignment horizontal="center"/>
      <protection locked="0"/>
    </xf>
    <xf numFmtId="0" fontId="9" fillId="0" borderId="0" xfId="0" applyFont="1" applyBorder="1" applyAlignment="1" applyProtection="1">
      <alignment vertical="center"/>
      <protection hidden="1"/>
    </xf>
    <xf numFmtId="0" fontId="5" fillId="0" borderId="0" xfId="0" applyFont="1" applyBorder="1" applyProtection="1">
      <protection hidden="1"/>
    </xf>
    <xf numFmtId="2" fontId="0" fillId="0" borderId="0" xfId="0" applyNumberFormat="1" applyFill="1" applyBorder="1" applyAlignment="1" applyProtection="1">
      <alignment horizontal="center" vertical="center"/>
      <protection locked="0" hidden="1"/>
    </xf>
    <xf numFmtId="0" fontId="0" fillId="0" borderId="85" xfId="0" applyFill="1" applyBorder="1" applyProtection="1"/>
    <xf numFmtId="0" fontId="0" fillId="0" borderId="145" xfId="0" applyFill="1" applyBorder="1" applyAlignment="1" applyProtection="1">
      <alignment horizontal="center"/>
    </xf>
    <xf numFmtId="1" fontId="0" fillId="0" borderId="146" xfId="0" applyNumberFormat="1" applyFill="1" applyBorder="1" applyAlignment="1" applyProtection="1">
      <alignment horizontal="center"/>
    </xf>
    <xf numFmtId="166" fontId="0" fillId="0" borderId="73" xfId="0" applyNumberFormat="1" applyFill="1" applyBorder="1" applyAlignment="1" applyProtection="1">
      <alignment horizontal="center"/>
    </xf>
    <xf numFmtId="0" fontId="0" fillId="0" borderId="90" xfId="0" applyFill="1" applyBorder="1" applyProtection="1"/>
    <xf numFmtId="0" fontId="0" fillId="0" borderId="147" xfId="0" applyFill="1" applyBorder="1" applyAlignment="1" applyProtection="1">
      <alignment horizontal="center"/>
    </xf>
    <xf numFmtId="1" fontId="0" fillId="0" borderId="148" xfId="0" applyNumberFormat="1" applyFill="1" applyBorder="1" applyAlignment="1" applyProtection="1">
      <alignment horizontal="center"/>
    </xf>
    <xf numFmtId="166" fontId="0" fillId="0" borderId="74" xfId="0" applyNumberFormat="1" applyFill="1" applyBorder="1" applyAlignment="1" applyProtection="1">
      <alignment horizontal="center"/>
    </xf>
    <xf numFmtId="0" fontId="13" fillId="0" borderId="86" xfId="0" applyFont="1" applyFill="1" applyBorder="1" applyProtection="1"/>
    <xf numFmtId="166" fontId="0" fillId="0" borderId="88" xfId="0" applyNumberFormat="1" applyFill="1" applyBorder="1" applyAlignment="1" applyProtection="1">
      <alignment horizontal="center"/>
    </xf>
    <xf numFmtId="0" fontId="13" fillId="0" borderId="91" xfId="0" applyFont="1" applyFill="1" applyBorder="1" applyProtection="1"/>
    <xf numFmtId="166" fontId="0" fillId="0" borderId="93" xfId="0" applyNumberFormat="1" applyFill="1" applyBorder="1" applyAlignment="1" applyProtection="1">
      <alignment horizontal="center"/>
    </xf>
    <xf numFmtId="0" fontId="13" fillId="0" borderId="144" xfId="0" applyFont="1" applyFill="1" applyBorder="1" applyProtection="1"/>
    <xf numFmtId="0" fontId="0" fillId="0" borderId="149" xfId="0" applyFill="1" applyBorder="1" applyProtection="1"/>
    <xf numFmtId="0" fontId="0" fillId="0" borderId="150" xfId="0" applyFill="1" applyBorder="1" applyAlignment="1" applyProtection="1">
      <alignment horizontal="center"/>
    </xf>
    <xf numFmtId="1" fontId="0" fillId="0" borderId="151" xfId="0" applyNumberFormat="1" applyFill="1" applyBorder="1" applyAlignment="1" applyProtection="1">
      <alignment horizontal="center"/>
    </xf>
    <xf numFmtId="166" fontId="0" fillId="0" borderId="152" xfId="0" applyNumberFormat="1" applyFill="1" applyBorder="1" applyAlignment="1" applyProtection="1">
      <alignment horizontal="center"/>
    </xf>
    <xf numFmtId="166" fontId="0" fillId="0" borderId="131" xfId="0" applyNumberFormat="1" applyFill="1" applyBorder="1" applyAlignment="1" applyProtection="1">
      <alignment horizontal="center"/>
    </xf>
    <xf numFmtId="0" fontId="0" fillId="52" borderId="153" xfId="0" applyFill="1" applyBorder="1" applyAlignment="1" applyProtection="1">
      <alignment horizontal="center"/>
    </xf>
    <xf numFmtId="0" fontId="0" fillId="52" borderId="147" xfId="0" applyFill="1" applyBorder="1" applyAlignment="1" applyProtection="1">
      <alignment horizontal="center"/>
      <protection locked="0"/>
    </xf>
    <xf numFmtId="0" fontId="0" fillId="52" borderId="90" xfId="0" applyFill="1" applyBorder="1" applyAlignment="1" applyProtection="1">
      <alignment horizontal="center"/>
    </xf>
    <xf numFmtId="0" fontId="0" fillId="52" borderId="74" xfId="0" applyFill="1" applyBorder="1" applyAlignment="1" applyProtection="1">
      <alignment horizontal="center"/>
      <protection locked="0"/>
    </xf>
    <xf numFmtId="2" fontId="0" fillId="52" borderId="74" xfId="0" applyNumberFormat="1" applyFill="1" applyBorder="1" applyAlignment="1" applyProtection="1">
      <alignment horizontal="center"/>
      <protection locked="0"/>
    </xf>
    <xf numFmtId="0" fontId="0" fillId="0" borderId="0" xfId="0" applyBorder="1" applyProtection="1"/>
    <xf numFmtId="2" fontId="0" fillId="52" borderId="93" xfId="0" applyNumberFormat="1" applyFill="1" applyBorder="1" applyAlignment="1" applyProtection="1">
      <alignment horizontal="center"/>
      <protection locked="0"/>
    </xf>
    <xf numFmtId="0" fontId="0" fillId="52" borderId="150" xfId="0" applyFill="1" applyBorder="1" applyAlignment="1" applyProtection="1">
      <alignment horizontal="center"/>
      <protection locked="0"/>
    </xf>
    <xf numFmtId="0" fontId="0" fillId="52" borderId="149" xfId="0" applyFill="1" applyBorder="1" applyAlignment="1" applyProtection="1">
      <alignment horizontal="center"/>
    </xf>
    <xf numFmtId="0" fontId="0" fillId="52" borderId="152" xfId="0" applyFill="1" applyBorder="1" applyAlignment="1" applyProtection="1">
      <alignment horizontal="center"/>
      <protection locked="0"/>
    </xf>
    <xf numFmtId="2" fontId="0" fillId="52" borderId="152" xfId="0" applyNumberFormat="1" applyFill="1" applyBorder="1" applyAlignment="1" applyProtection="1">
      <alignment horizontal="center"/>
      <protection locked="0"/>
    </xf>
    <xf numFmtId="2" fontId="0" fillId="52" borderId="131" xfId="0" applyNumberFormat="1" applyFill="1" applyBorder="1" applyAlignment="1" applyProtection="1">
      <alignment horizontal="center"/>
      <protection locked="0"/>
    </xf>
    <xf numFmtId="0" fontId="0" fillId="52" borderId="154" xfId="0" applyFill="1" applyBorder="1" applyAlignment="1" applyProtection="1">
      <alignment horizontal="center"/>
      <protection locked="0"/>
    </xf>
    <xf numFmtId="0" fontId="0" fillId="52" borderId="155" xfId="0" applyFill="1" applyBorder="1" applyAlignment="1" applyProtection="1">
      <alignment horizontal="center"/>
      <protection locked="0"/>
    </xf>
    <xf numFmtId="2" fontId="0" fillId="52" borderId="155" xfId="0" applyNumberFormat="1" applyFill="1" applyBorder="1" applyAlignment="1" applyProtection="1">
      <alignment horizontal="center"/>
      <protection locked="0"/>
    </xf>
    <xf numFmtId="2" fontId="0" fillId="52" borderId="156" xfId="0" applyNumberFormat="1" applyFill="1" applyBorder="1" applyAlignment="1" applyProtection="1">
      <alignment horizontal="center"/>
      <protection locked="0"/>
    </xf>
    <xf numFmtId="0" fontId="9" fillId="0" borderId="64" xfId="0" applyFont="1" applyBorder="1" applyAlignment="1" applyProtection="1">
      <alignment vertical="center"/>
      <protection hidden="1"/>
    </xf>
    <xf numFmtId="0" fontId="0" fillId="0" borderId="63" xfId="0" applyBorder="1" applyAlignment="1" applyProtection="1">
      <alignment vertical="center"/>
      <protection hidden="1"/>
    </xf>
    <xf numFmtId="0" fontId="0" fillId="0" borderId="119" xfId="0" applyBorder="1" applyAlignment="1" applyProtection="1">
      <alignment horizontal="center" vertical="center"/>
      <protection hidden="1"/>
    </xf>
    <xf numFmtId="166" fontId="0" fillId="52" borderId="74" xfId="0" applyNumberFormat="1" applyFill="1" applyBorder="1" applyAlignment="1" applyProtection="1">
      <alignment horizontal="center"/>
      <protection locked="0"/>
    </xf>
    <xf numFmtId="0" fontId="0" fillId="52" borderId="145" xfId="0" applyFill="1" applyBorder="1" applyAlignment="1" applyProtection="1">
      <alignment horizontal="center"/>
      <protection locked="0"/>
    </xf>
    <xf numFmtId="166" fontId="0" fillId="52" borderId="73" xfId="0" applyNumberFormat="1" applyFill="1" applyBorder="1" applyAlignment="1" applyProtection="1">
      <alignment horizontal="center"/>
      <protection locked="0"/>
    </xf>
    <xf numFmtId="166" fontId="0" fillId="52" borderId="88" xfId="0" applyNumberFormat="1" applyFill="1" applyBorder="1" applyAlignment="1" applyProtection="1">
      <alignment horizontal="center"/>
      <protection locked="0"/>
    </xf>
    <xf numFmtId="166" fontId="0" fillId="52" borderId="93" xfId="0" applyNumberFormat="1" applyFill="1" applyBorder="1" applyAlignment="1" applyProtection="1">
      <alignment horizontal="center"/>
      <protection locked="0"/>
    </xf>
    <xf numFmtId="166" fontId="0" fillId="52" borderId="152" xfId="0" applyNumberFormat="1" applyFill="1" applyBorder="1" applyAlignment="1" applyProtection="1">
      <alignment horizontal="center"/>
      <protection locked="0"/>
    </xf>
    <xf numFmtId="166" fontId="0" fillId="52" borderId="131" xfId="0" applyNumberFormat="1" applyFill="1" applyBorder="1" applyAlignment="1" applyProtection="1">
      <alignment horizontal="center"/>
      <protection locked="0"/>
    </xf>
    <xf numFmtId="0" fontId="4" fillId="0" borderId="7" xfId="0" applyFont="1" applyFill="1" applyBorder="1" applyAlignment="1" applyProtection="1">
      <alignment vertical="center"/>
    </xf>
    <xf numFmtId="0" fontId="0" fillId="52" borderId="85" xfId="0" applyFill="1" applyBorder="1" applyAlignment="1" applyProtection="1">
      <alignment horizontal="center"/>
      <protection locked="0"/>
    </xf>
    <xf numFmtId="0" fontId="0" fillId="52" borderId="73" xfId="0" applyFill="1" applyBorder="1" applyAlignment="1" applyProtection="1">
      <alignment horizontal="center"/>
      <protection locked="0"/>
    </xf>
    <xf numFmtId="0" fontId="0" fillId="52" borderId="90" xfId="0" applyFill="1" applyBorder="1" applyAlignment="1" applyProtection="1">
      <alignment horizontal="center"/>
      <protection locked="0"/>
    </xf>
    <xf numFmtId="0" fontId="0" fillId="52" borderId="149" xfId="0" applyFill="1" applyBorder="1" applyAlignment="1" applyProtection="1">
      <alignment horizontal="center"/>
      <protection locked="0"/>
    </xf>
    <xf numFmtId="0" fontId="0" fillId="0" borderId="146" xfId="0" applyFill="1" applyBorder="1" applyProtection="1"/>
    <xf numFmtId="0" fontId="0" fillId="0" borderId="148" xfId="0" applyFill="1" applyBorder="1" applyProtection="1"/>
    <xf numFmtId="0" fontId="0" fillId="0" borderId="151" xfId="0" applyFill="1" applyBorder="1" applyProtection="1"/>
    <xf numFmtId="49" fontId="9" fillId="0" borderId="0" xfId="0" applyNumberFormat="1" applyFont="1" applyFill="1" applyBorder="1" applyAlignment="1" applyProtection="1">
      <alignment horizontal="left" vertical="center"/>
    </xf>
    <xf numFmtId="0" fontId="2" fillId="54" borderId="0" xfId="0" applyFont="1" applyFill="1" applyAlignment="1" applyProtection="1">
      <alignment horizontal="right" vertical="center"/>
      <protection hidden="1"/>
    </xf>
    <xf numFmtId="0" fontId="4" fillId="0" borderId="0" xfId="0" applyFont="1" applyAlignment="1" applyProtection="1">
      <alignment vertical="center"/>
    </xf>
    <xf numFmtId="0" fontId="29" fillId="0" borderId="0" xfId="0" applyFont="1" applyAlignment="1" applyProtection="1">
      <alignment vertical="center"/>
    </xf>
    <xf numFmtId="0" fontId="29" fillId="50" borderId="6" xfId="0" applyFont="1" applyFill="1" applyBorder="1" applyAlignment="1" applyProtection="1">
      <alignment vertical="center"/>
    </xf>
    <xf numFmtId="0" fontId="13" fillId="0" borderId="0" xfId="0" applyFont="1" applyAlignment="1" applyProtection="1">
      <alignment vertical="center"/>
    </xf>
    <xf numFmtId="0" fontId="9" fillId="50" borderId="98" xfId="0" applyFont="1" applyFill="1" applyBorder="1" applyAlignment="1" applyProtection="1">
      <alignment horizontal="center" vertical="center"/>
    </xf>
    <xf numFmtId="0" fontId="29" fillId="45" borderId="153" xfId="0" applyFont="1" applyFill="1" applyBorder="1" applyAlignment="1" applyProtection="1"/>
    <xf numFmtId="0" fontId="29" fillId="45" borderId="90" xfId="0" applyFont="1" applyFill="1" applyBorder="1" applyAlignment="1" applyProtection="1"/>
    <xf numFmtId="0" fontId="29" fillId="45" borderId="149" xfId="0" applyFont="1" applyFill="1" applyBorder="1" applyAlignment="1" applyProtection="1"/>
    <xf numFmtId="1" fontId="9" fillId="0" borderId="0" xfId="0" applyNumberFormat="1" applyFont="1" applyFill="1" applyBorder="1" applyAlignment="1" applyProtection="1">
      <alignment horizontal="center" vertical="center"/>
    </xf>
    <xf numFmtId="0" fontId="54" fillId="0" borderId="0" xfId="42" applyFill="1" applyProtection="1"/>
    <xf numFmtId="0" fontId="90" fillId="0" borderId="0" xfId="42" applyFont="1" applyFill="1" applyAlignment="1" applyProtection="1">
      <alignment vertical="center"/>
    </xf>
    <xf numFmtId="0" fontId="2" fillId="0" borderId="119" xfId="0" applyFont="1" applyBorder="1" applyAlignment="1" applyProtection="1">
      <alignment horizontal="center" vertical="center"/>
    </xf>
    <xf numFmtId="0" fontId="5" fillId="0" borderId="0" xfId="0" applyFont="1" applyBorder="1" applyProtection="1"/>
    <xf numFmtId="1" fontId="2" fillId="0" borderId="157" xfId="0" applyNumberFormat="1" applyFont="1" applyFill="1" applyBorder="1" applyAlignment="1" applyProtection="1">
      <alignment horizontal="center" vertical="center"/>
      <protection hidden="1"/>
    </xf>
    <xf numFmtId="1" fontId="2" fillId="0" borderId="158" xfId="0" applyNumberFormat="1" applyFont="1" applyFill="1" applyBorder="1" applyAlignment="1" applyProtection="1">
      <alignment horizontal="center" vertical="center"/>
      <protection hidden="1"/>
    </xf>
    <xf numFmtId="0" fontId="0" fillId="0" borderId="158" xfId="0" applyFill="1" applyBorder="1" applyAlignment="1" applyProtection="1">
      <alignment horizontal="center" vertical="center"/>
    </xf>
    <xf numFmtId="1" fontId="2" fillId="0" borderId="159" xfId="0" applyNumberFormat="1" applyFont="1" applyFill="1" applyBorder="1" applyAlignment="1" applyProtection="1">
      <alignment horizontal="center" vertical="center"/>
      <protection hidden="1"/>
    </xf>
    <xf numFmtId="166" fontId="0" fillId="0" borderId="0" xfId="0" applyNumberFormat="1" applyFill="1" applyBorder="1" applyAlignment="1" applyProtection="1">
      <alignment horizontal="center" vertical="center"/>
      <protection hidden="1"/>
    </xf>
    <xf numFmtId="0" fontId="9" fillId="0" borderId="118" xfId="0" applyFont="1" applyFill="1" applyBorder="1" applyAlignment="1" applyProtection="1">
      <alignment vertical="center"/>
      <protection hidden="1"/>
    </xf>
    <xf numFmtId="0" fontId="9" fillId="0" borderId="94" xfId="0" applyFont="1" applyFill="1" applyBorder="1" applyAlignment="1" applyProtection="1">
      <alignment vertical="center"/>
      <protection hidden="1"/>
    </xf>
    <xf numFmtId="165" fontId="0" fillId="0" borderId="0" xfId="0" applyNumberFormat="1" applyAlignment="1" applyProtection="1">
      <alignment vertical="center"/>
      <protection locked="0" hidden="1"/>
    </xf>
    <xf numFmtId="2" fontId="0" fillId="0" borderId="0" xfId="0" applyNumberFormat="1" applyBorder="1" applyAlignment="1" applyProtection="1">
      <alignment horizontal="center"/>
    </xf>
    <xf numFmtId="165" fontId="0" fillId="0" borderId="0" xfId="0" applyNumberFormat="1" applyBorder="1" applyAlignment="1" applyProtection="1">
      <alignment horizontal="center"/>
    </xf>
    <xf numFmtId="166" fontId="0" fillId="52" borderId="74" xfId="0" applyNumberFormat="1" applyFill="1" applyBorder="1" applyAlignment="1" applyProtection="1">
      <alignment horizontal="center"/>
      <protection locked="0"/>
    </xf>
    <xf numFmtId="2" fontId="86" fillId="0" borderId="0" xfId="62" applyNumberFormat="1"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0" fontId="9" fillId="0" borderId="0" xfId="0" applyFont="1" applyFill="1" applyBorder="1" applyAlignment="1" applyProtection="1">
      <alignment horizontal="center"/>
      <protection locked="0"/>
    </xf>
    <xf numFmtId="2" fontId="9" fillId="0" borderId="0" xfId="62" applyNumberFormat="1" applyFont="1" applyBorder="1" applyAlignment="1" applyProtection="1">
      <alignment horizontal="center"/>
      <protection locked="0"/>
    </xf>
    <xf numFmtId="2" fontId="9" fillId="0" borderId="0" xfId="0" applyNumberFormat="1" applyFont="1" applyFill="1" applyBorder="1" applyAlignment="1" applyProtection="1">
      <alignment horizontal="center" vertical="top"/>
      <protection locked="0"/>
    </xf>
    <xf numFmtId="2" fontId="86" fillId="0" borderId="0" xfId="0" applyNumberFormat="1" applyFont="1" applyFill="1" applyBorder="1" applyAlignment="1" applyProtection="1">
      <alignment horizontal="center"/>
      <protection locked="0"/>
    </xf>
    <xf numFmtId="2" fontId="86" fillId="0" borderId="0" xfId="0" applyNumberFormat="1" applyFont="1" applyFill="1" applyBorder="1" applyAlignment="1" applyProtection="1">
      <alignment horizontal="left"/>
      <protection locked="0"/>
    </xf>
    <xf numFmtId="0" fontId="9" fillId="0" borderId="0" xfId="0" applyFont="1" applyFill="1" applyAlignment="1" applyProtection="1">
      <alignment vertical="center"/>
      <protection locked="0" hidden="1"/>
    </xf>
    <xf numFmtId="1" fontId="0" fillId="51" borderId="0" xfId="0" applyNumberFormat="1" applyFill="1" applyAlignment="1" applyProtection="1">
      <alignment vertical="center"/>
      <protection hidden="1"/>
    </xf>
    <xf numFmtId="1" fontId="2" fillId="0" borderId="156" xfId="0" applyNumberFormat="1" applyFont="1" applyFill="1" applyBorder="1" applyAlignment="1" applyProtection="1">
      <alignment horizontal="center" vertical="center"/>
      <protection hidden="1"/>
    </xf>
    <xf numFmtId="1" fontId="2" fillId="0" borderId="160" xfId="0" applyNumberFormat="1" applyFont="1" applyFill="1" applyBorder="1" applyAlignment="1" applyProtection="1">
      <alignment horizontal="center" vertical="center"/>
      <protection hidden="1"/>
    </xf>
    <xf numFmtId="0" fontId="0" fillId="0" borderId="0" xfId="0" applyFill="1" applyAlignment="1" applyProtection="1">
      <alignment horizontal="center" vertical="center"/>
      <protection locked="0" hidden="1"/>
    </xf>
    <xf numFmtId="1" fontId="4" fillId="0" borderId="119" xfId="0" applyNumberFormat="1" applyFont="1" applyFill="1" applyBorder="1" applyAlignment="1" applyProtection="1">
      <alignment horizontal="center" vertical="center"/>
      <protection locked="0" hidden="1"/>
    </xf>
    <xf numFmtId="0" fontId="2" fillId="0" borderId="0" xfId="0" applyFont="1" applyFill="1" applyAlignment="1" applyProtection="1">
      <alignment horizontal="center" vertical="center"/>
      <protection hidden="1"/>
    </xf>
    <xf numFmtId="0" fontId="2" fillId="0" borderId="0" xfId="0" applyFont="1" applyFill="1" applyAlignment="1" applyProtection="1">
      <alignment horizontal="center" vertical="center"/>
      <protection locked="0" hidden="1"/>
    </xf>
    <xf numFmtId="0" fontId="9" fillId="2" borderId="60" xfId="0" applyFont="1" applyFill="1" applyBorder="1" applyAlignment="1" applyProtection="1">
      <alignment horizontal="center" vertical="center"/>
      <protection locked="0"/>
    </xf>
    <xf numFmtId="166" fontId="9" fillId="2" borderId="34" xfId="0" applyNumberFormat="1" applyFont="1" applyFill="1" applyBorder="1" applyAlignment="1" applyProtection="1">
      <alignment horizontal="center" vertical="center"/>
      <protection locked="0"/>
    </xf>
    <xf numFmtId="166" fontId="9" fillId="52" borderId="7" xfId="0" applyNumberFormat="1" applyFont="1" applyFill="1" applyBorder="1" applyAlignment="1" applyProtection="1">
      <alignment horizontal="center" vertical="center"/>
      <protection locked="0"/>
    </xf>
    <xf numFmtId="166" fontId="9" fillId="2" borderId="76" xfId="0" applyNumberFormat="1" applyFont="1" applyFill="1" applyBorder="1" applyAlignment="1" applyProtection="1">
      <alignment horizontal="center" vertical="center"/>
      <protection locked="0"/>
    </xf>
    <xf numFmtId="166" fontId="0" fillId="2" borderId="6" xfId="0" applyNumberFormat="1" applyFill="1" applyBorder="1" applyAlignment="1" applyProtection="1">
      <alignment horizontal="center" vertical="center"/>
      <protection locked="0"/>
    </xf>
    <xf numFmtId="166" fontId="0" fillId="2" borderId="75" xfId="0" applyNumberFormat="1" applyFill="1" applyBorder="1" applyAlignment="1" applyProtection="1">
      <alignment horizontal="center" vertical="center"/>
      <protection locked="0"/>
    </xf>
    <xf numFmtId="166" fontId="0" fillId="2" borderId="7" xfId="0" applyNumberFormat="1" applyFill="1" applyBorder="1" applyAlignment="1" applyProtection="1">
      <alignment horizontal="center" vertical="center"/>
      <protection locked="0"/>
    </xf>
    <xf numFmtId="166" fontId="0" fillId="2" borderId="76" xfId="0" applyNumberFormat="1" applyFill="1" applyBorder="1" applyAlignment="1" applyProtection="1">
      <alignment horizontal="center" vertical="center"/>
      <protection locked="0"/>
    </xf>
    <xf numFmtId="166" fontId="0" fillId="2" borderId="33" xfId="0" applyNumberFormat="1" applyFill="1" applyBorder="1" applyAlignment="1" applyProtection="1">
      <alignment horizontal="center" vertical="center"/>
      <protection locked="0"/>
    </xf>
    <xf numFmtId="166" fontId="0" fillId="2" borderId="34" xfId="0" applyNumberFormat="1" applyFill="1" applyBorder="1" applyAlignment="1" applyProtection="1">
      <alignment horizontal="center" vertical="center"/>
      <protection locked="0"/>
    </xf>
    <xf numFmtId="166" fontId="0" fillId="52" borderId="161" xfId="0" applyNumberFormat="1" applyFill="1" applyBorder="1" applyAlignment="1" applyProtection="1">
      <alignment horizontal="center" vertical="center"/>
      <protection locked="0"/>
    </xf>
    <xf numFmtId="166" fontId="0" fillId="52" borderId="162" xfId="0" applyNumberFormat="1" applyFill="1" applyBorder="1" applyAlignment="1" applyProtection="1">
      <alignment horizontal="center" vertical="center"/>
      <protection locked="0"/>
    </xf>
    <xf numFmtId="166" fontId="0" fillId="52" borderId="163" xfId="0" applyNumberFormat="1" applyFill="1" applyBorder="1" applyAlignment="1" applyProtection="1">
      <alignment horizontal="center" vertical="center"/>
      <protection locked="0"/>
    </xf>
    <xf numFmtId="166" fontId="0" fillId="52" borderId="164" xfId="0" applyNumberFormat="1" applyFill="1" applyBorder="1" applyAlignment="1" applyProtection="1">
      <alignment horizontal="center" vertical="center"/>
      <protection locked="0"/>
    </xf>
    <xf numFmtId="0" fontId="9" fillId="2" borderId="165" xfId="0" applyFont="1" applyFill="1" applyBorder="1" applyAlignment="1" applyProtection="1">
      <alignment horizontal="center" vertical="center"/>
      <protection locked="0"/>
    </xf>
    <xf numFmtId="166" fontId="9" fillId="2" borderId="166" xfId="0" applyNumberFormat="1" applyFont="1" applyFill="1" applyBorder="1" applyAlignment="1" applyProtection="1">
      <alignment horizontal="center" vertical="center"/>
      <protection locked="0"/>
    </xf>
    <xf numFmtId="166" fontId="9" fillId="52" borderId="167" xfId="0" applyNumberFormat="1" applyFont="1" applyFill="1" applyBorder="1" applyAlignment="1" applyProtection="1">
      <alignment horizontal="center" vertical="center"/>
      <protection locked="0"/>
    </xf>
    <xf numFmtId="166" fontId="9" fillId="2" borderId="168" xfId="0" applyNumberFormat="1" applyFont="1" applyFill="1" applyBorder="1" applyAlignment="1" applyProtection="1">
      <alignment horizontal="center" vertical="center"/>
      <protection locked="0"/>
    </xf>
    <xf numFmtId="166" fontId="0" fillId="2" borderId="169" xfId="0" applyNumberFormat="1" applyFill="1" applyBorder="1" applyAlignment="1" applyProtection="1">
      <alignment horizontal="center" vertical="center"/>
      <protection locked="0"/>
    </xf>
    <xf numFmtId="166" fontId="0" fillId="2" borderId="170" xfId="0" applyNumberFormat="1" applyFill="1" applyBorder="1" applyAlignment="1" applyProtection="1">
      <alignment horizontal="center" vertical="center"/>
      <protection locked="0"/>
    </xf>
    <xf numFmtId="166" fontId="0" fillId="2" borderId="167" xfId="0" applyNumberFormat="1" applyFill="1" applyBorder="1" applyAlignment="1" applyProtection="1">
      <alignment horizontal="center" vertical="center"/>
      <protection locked="0"/>
    </xf>
    <xf numFmtId="166" fontId="0" fillId="2" borderId="168" xfId="0" applyNumberFormat="1" applyFill="1" applyBorder="1" applyAlignment="1" applyProtection="1">
      <alignment horizontal="center" vertical="center"/>
      <protection locked="0"/>
    </xf>
    <xf numFmtId="166" fontId="0" fillId="2" borderId="171" xfId="0" applyNumberFormat="1" applyFill="1" applyBorder="1" applyAlignment="1" applyProtection="1">
      <alignment horizontal="center" vertical="center"/>
      <protection locked="0"/>
    </xf>
    <xf numFmtId="166" fontId="0" fillId="2" borderId="166" xfId="0" applyNumberFormat="1" applyFill="1" applyBorder="1" applyAlignment="1" applyProtection="1">
      <alignment horizontal="center" vertical="center"/>
      <protection locked="0"/>
    </xf>
    <xf numFmtId="0" fontId="9" fillId="2" borderId="172" xfId="0" applyFont="1" applyFill="1" applyBorder="1" applyAlignment="1" applyProtection="1">
      <alignment horizontal="center" vertical="center"/>
      <protection locked="0"/>
    </xf>
    <xf numFmtId="166" fontId="9" fillId="2" borderId="158" xfId="0" applyNumberFormat="1" applyFont="1" applyFill="1" applyBorder="1" applyAlignment="1" applyProtection="1">
      <alignment horizontal="center" vertical="center"/>
      <protection locked="0"/>
    </xf>
    <xf numFmtId="166" fontId="9" fillId="52" borderId="141" xfId="0" applyNumberFormat="1" applyFont="1" applyFill="1" applyBorder="1" applyAlignment="1" applyProtection="1">
      <alignment horizontal="center" vertical="center"/>
      <protection locked="0"/>
    </xf>
    <xf numFmtId="166" fontId="9" fillId="2" borderId="173" xfId="0" applyNumberFormat="1" applyFont="1" applyFill="1" applyBorder="1" applyAlignment="1" applyProtection="1">
      <alignment horizontal="center" vertical="center"/>
      <protection locked="0"/>
    </xf>
    <xf numFmtId="166" fontId="0" fillId="2" borderId="140" xfId="0" applyNumberFormat="1" applyFill="1" applyBorder="1" applyAlignment="1" applyProtection="1">
      <alignment horizontal="center" vertical="center"/>
      <protection locked="0"/>
    </xf>
    <xf numFmtId="166" fontId="0" fillId="2" borderId="137" xfId="0" applyNumberFormat="1" applyFill="1" applyBorder="1" applyAlignment="1" applyProtection="1">
      <alignment horizontal="center" vertical="center"/>
      <protection locked="0"/>
    </xf>
    <xf numFmtId="166" fontId="0" fillId="2" borderId="141" xfId="0" applyNumberFormat="1" applyFill="1" applyBorder="1" applyAlignment="1" applyProtection="1">
      <alignment horizontal="center" vertical="center"/>
      <protection locked="0"/>
    </xf>
    <xf numFmtId="166" fontId="0" fillId="2" borderId="173" xfId="0" applyNumberFormat="1" applyFill="1" applyBorder="1" applyAlignment="1" applyProtection="1">
      <alignment horizontal="center" vertical="center"/>
      <protection locked="0"/>
    </xf>
    <xf numFmtId="166" fontId="0" fillId="2" borderId="142" xfId="0" applyNumberFormat="1" applyFill="1" applyBorder="1" applyAlignment="1" applyProtection="1">
      <alignment horizontal="center" vertical="center"/>
      <protection locked="0"/>
    </xf>
    <xf numFmtId="166" fontId="0" fillId="2" borderId="158" xfId="0" applyNumberFormat="1" applyFill="1" applyBorder="1" applyAlignment="1" applyProtection="1">
      <alignment horizontal="center" vertical="center"/>
      <protection locked="0"/>
    </xf>
    <xf numFmtId="0" fontId="9" fillId="0" borderId="0" xfId="62" applyFont="1" applyFill="1" applyAlignment="1">
      <alignment horizontal="left"/>
    </xf>
    <xf numFmtId="0" fontId="9" fillId="0" borderId="0" xfId="0" applyFont="1" applyProtection="1">
      <protection locked="0" hidden="1"/>
    </xf>
    <xf numFmtId="0" fontId="2" fillId="0" borderId="0" xfId="0" applyFont="1" applyBorder="1" applyAlignment="1">
      <alignment horizontal="left"/>
    </xf>
    <xf numFmtId="166" fontId="0" fillId="51" borderId="0" xfId="0" applyNumberFormat="1" applyFill="1" applyBorder="1" applyAlignment="1" applyProtection="1">
      <alignment horizontal="center" vertical="center"/>
      <protection locked="0" hidden="1"/>
    </xf>
    <xf numFmtId="2" fontId="0" fillId="0" borderId="24" xfId="0" applyNumberFormat="1" applyFill="1" applyBorder="1" applyAlignment="1" applyProtection="1">
      <alignment horizontal="center" vertical="center"/>
      <protection locked="0" hidden="1"/>
    </xf>
    <xf numFmtId="166" fontId="0" fillId="51" borderId="50" xfId="0" applyNumberFormat="1" applyFill="1" applyBorder="1" applyAlignment="1" applyProtection="1">
      <alignment horizontal="center" vertical="center"/>
      <protection locked="0" hidden="1"/>
    </xf>
    <xf numFmtId="166" fontId="0" fillId="51" borderId="25" xfId="0" applyNumberFormat="1" applyFill="1" applyBorder="1" applyAlignment="1" applyProtection="1">
      <alignment horizontal="center" vertical="center"/>
      <protection locked="0" hidden="1"/>
    </xf>
    <xf numFmtId="0" fontId="0" fillId="51" borderId="25" xfId="0" applyFill="1" applyBorder="1" applyAlignment="1" applyProtection="1">
      <alignment horizontal="center" vertical="center"/>
      <protection locked="0" hidden="1"/>
    </xf>
    <xf numFmtId="2" fontId="0" fillId="53" borderId="0" xfId="0" applyNumberFormat="1" applyFill="1" applyBorder="1" applyAlignment="1" applyProtection="1">
      <alignment horizontal="center" vertical="center"/>
      <protection locked="0" hidden="1"/>
    </xf>
    <xf numFmtId="0" fontId="2" fillId="0" borderId="5" xfId="0" applyFont="1" applyBorder="1" applyAlignment="1">
      <alignment horizontal="center"/>
    </xf>
    <xf numFmtId="0" fontId="2" fillId="0" borderId="101" xfId="0" applyFont="1" applyFill="1" applyBorder="1" applyAlignment="1">
      <alignment horizontal="center"/>
    </xf>
    <xf numFmtId="0" fontId="2" fillId="0" borderId="31" xfId="0" applyFont="1" applyFill="1" applyBorder="1" applyAlignment="1">
      <alignment horizontal="center"/>
    </xf>
    <xf numFmtId="0" fontId="41" fillId="0" borderId="61" xfId="35" applyNumberFormat="1" applyFont="1" applyFill="1" applyBorder="1" applyAlignment="1" applyProtection="1">
      <alignment horizontal="center" vertical="center"/>
      <protection locked="0" hidden="1"/>
    </xf>
    <xf numFmtId="1" fontId="0" fillId="0" borderId="0" xfId="0" applyNumberFormat="1" applyFill="1" applyAlignment="1" applyProtection="1">
      <alignment vertical="center"/>
      <protection hidden="1"/>
    </xf>
    <xf numFmtId="0" fontId="9" fillId="50" borderId="29" xfId="0" applyFont="1" applyFill="1" applyBorder="1" applyAlignment="1" applyProtection="1">
      <alignment horizontal="center"/>
    </xf>
    <xf numFmtId="0" fontId="45" fillId="50" borderId="5" xfId="0" applyFont="1" applyFill="1" applyBorder="1" applyAlignment="1" applyProtection="1">
      <alignment horizontal="left" vertical="center"/>
    </xf>
    <xf numFmtId="2" fontId="9" fillId="0" borderId="31" xfId="62" applyNumberFormat="1" applyFont="1" applyFill="1" applyBorder="1" applyProtection="1">
      <protection locked="0"/>
    </xf>
    <xf numFmtId="0" fontId="9" fillId="0" borderId="31" xfId="62" applyFont="1" applyFill="1" applyBorder="1" applyProtection="1">
      <protection locked="0"/>
    </xf>
    <xf numFmtId="0" fontId="91" fillId="0" borderId="41" xfId="62" applyFont="1" applyFill="1" applyBorder="1" applyProtection="1">
      <protection locked="0"/>
    </xf>
    <xf numFmtId="0" fontId="9" fillId="0" borderId="13" xfId="62" applyFont="1" applyFill="1" applyBorder="1" applyAlignment="1" applyProtection="1">
      <alignment horizontal="left"/>
      <protection locked="0"/>
    </xf>
    <xf numFmtId="0" fontId="91" fillId="0" borderId="22" xfId="62" applyFont="1" applyFill="1" applyBorder="1" applyAlignment="1" applyProtection="1">
      <alignment horizontal="center"/>
      <protection locked="0"/>
    </xf>
    <xf numFmtId="0" fontId="9" fillId="0" borderId="12" xfId="62" applyFont="1" applyFill="1" applyBorder="1" applyAlignment="1" applyProtection="1">
      <alignment horizontal="center"/>
      <protection locked="0"/>
    </xf>
    <xf numFmtId="0" fontId="88" fillId="0" borderId="31" xfId="62" applyFont="1" applyFill="1" applyBorder="1" applyProtection="1">
      <protection locked="0"/>
    </xf>
    <xf numFmtId="1" fontId="5" fillId="0" borderId="0" xfId="0" applyNumberFormat="1" applyFont="1" applyFill="1" applyBorder="1" applyAlignment="1" applyProtection="1">
      <alignment horizontal="left" vertical="center"/>
      <protection hidden="1"/>
    </xf>
    <xf numFmtId="0" fontId="2" fillId="50" borderId="7" xfId="0" applyFont="1" applyFill="1" applyBorder="1" applyAlignment="1" applyProtection="1">
      <alignment horizontal="center" vertical="center"/>
    </xf>
    <xf numFmtId="0" fontId="17" fillId="0" borderId="50" xfId="0" applyFont="1" applyFill="1" applyBorder="1" applyProtection="1">
      <protection locked="0"/>
    </xf>
    <xf numFmtId="1" fontId="29" fillId="0" borderId="209" xfId="0" applyNumberFormat="1" applyFont="1" applyFill="1" applyBorder="1" applyAlignment="1" applyProtection="1">
      <alignment horizontal="center" vertical="center"/>
    </xf>
    <xf numFmtId="1" fontId="12" fillId="0" borderId="210" xfId="0" applyNumberFormat="1" applyFont="1" applyFill="1" applyBorder="1" applyAlignment="1" applyProtection="1">
      <alignment horizontal="center" vertical="center"/>
    </xf>
    <xf numFmtId="1" fontId="12" fillId="0" borderId="211" xfId="0" applyNumberFormat="1"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3" fillId="0" borderId="212" xfId="0" applyFont="1" applyBorder="1" applyAlignment="1" applyProtection="1">
      <alignment horizontal="center" vertical="center"/>
      <protection hidden="1"/>
    </xf>
    <xf numFmtId="0" fontId="29" fillId="0" borderId="212" xfId="0" applyFont="1" applyBorder="1" applyAlignment="1" applyProtection="1">
      <alignment vertical="center"/>
    </xf>
    <xf numFmtId="1" fontId="29" fillId="0" borderId="213" xfId="0" applyNumberFormat="1" applyFont="1" applyFill="1" applyBorder="1" applyAlignment="1" applyProtection="1">
      <alignment horizontal="center" vertical="center"/>
    </xf>
    <xf numFmtId="1" fontId="12" fillId="0" borderId="214" xfId="0" applyNumberFormat="1" applyFont="1" applyFill="1" applyBorder="1" applyAlignment="1" applyProtection="1">
      <alignment horizontal="center" vertical="center"/>
    </xf>
    <xf numFmtId="0" fontId="13" fillId="0" borderId="215" xfId="0" applyFont="1" applyBorder="1" applyAlignment="1" applyProtection="1">
      <alignment horizontal="center" vertical="center"/>
      <protection hidden="1"/>
    </xf>
    <xf numFmtId="0" fontId="29" fillId="0" borderId="215" xfId="0" applyFont="1" applyBorder="1" applyAlignment="1" applyProtection="1">
      <alignment vertical="center"/>
    </xf>
    <xf numFmtId="1" fontId="29" fillId="0" borderId="216" xfId="0" applyNumberFormat="1" applyFont="1" applyFill="1" applyBorder="1" applyAlignment="1" applyProtection="1">
      <alignment horizontal="center" vertical="center"/>
    </xf>
    <xf numFmtId="0" fontId="13" fillId="0" borderId="215" xfId="0" applyFont="1" applyBorder="1" applyAlignment="1" applyProtection="1">
      <alignment vertical="center"/>
    </xf>
    <xf numFmtId="0" fontId="89" fillId="0" borderId="215" xfId="0" applyFont="1" applyBorder="1" applyAlignment="1" applyProtection="1">
      <alignment horizontal="right" vertical="center"/>
    </xf>
    <xf numFmtId="1" fontId="12" fillId="0" borderId="216" xfId="0" applyNumberFormat="1" applyFont="1" applyFill="1" applyBorder="1" applyAlignment="1" applyProtection="1">
      <alignment horizontal="center" vertical="center"/>
    </xf>
    <xf numFmtId="0" fontId="13" fillId="0" borderId="217" xfId="0" applyFont="1" applyBorder="1" applyAlignment="1" applyProtection="1">
      <alignment vertical="center"/>
      <protection hidden="1"/>
    </xf>
    <xf numFmtId="0" fontId="13" fillId="0" borderId="218" xfId="0" applyFont="1" applyBorder="1" applyAlignment="1" applyProtection="1">
      <alignment horizontal="center" vertical="center"/>
      <protection hidden="1"/>
    </xf>
    <xf numFmtId="0" fontId="29" fillId="0" borderId="218" xfId="0" applyFont="1" applyBorder="1" applyAlignment="1" applyProtection="1">
      <alignment vertical="center"/>
    </xf>
    <xf numFmtId="0" fontId="12" fillId="0" borderId="219" xfId="0" applyFont="1" applyBorder="1" applyAlignment="1" applyProtection="1">
      <alignment vertical="center"/>
    </xf>
    <xf numFmtId="0" fontId="13" fillId="0" borderId="220" xfId="0" applyFont="1" applyBorder="1" applyAlignment="1" applyProtection="1">
      <alignment vertical="center"/>
    </xf>
    <xf numFmtId="0" fontId="13" fillId="0" borderId="221" xfId="0" applyFont="1" applyBorder="1" applyAlignment="1" applyProtection="1">
      <alignment vertical="center"/>
    </xf>
    <xf numFmtId="2" fontId="35" fillId="0" borderId="222" xfId="0" applyNumberFormat="1" applyFont="1" applyBorder="1" applyAlignment="1" applyProtection="1">
      <alignment horizontal="center" vertical="center"/>
      <protection hidden="1"/>
    </xf>
    <xf numFmtId="1" fontId="29" fillId="55" borderId="210" xfId="0" applyNumberFormat="1" applyFont="1" applyFill="1" applyBorder="1" applyAlignment="1" applyProtection="1">
      <alignment horizontal="center" vertical="center"/>
    </xf>
    <xf numFmtId="1" fontId="12" fillId="55" borderId="210" xfId="0" applyNumberFormat="1" applyFont="1" applyFill="1" applyBorder="1" applyAlignment="1" applyProtection="1">
      <alignment horizontal="center" vertical="center"/>
    </xf>
    <xf numFmtId="1" fontId="12" fillId="55" borderId="0" xfId="0" applyNumberFormat="1" applyFont="1" applyFill="1" applyBorder="1" applyAlignment="1" applyProtection="1">
      <alignment horizontal="center" vertical="center"/>
    </xf>
    <xf numFmtId="1" fontId="12" fillId="55" borderId="223" xfId="0" applyNumberFormat="1" applyFont="1" applyFill="1" applyBorder="1" applyAlignment="1" applyProtection="1">
      <alignment horizontal="center" vertical="center"/>
    </xf>
    <xf numFmtId="166" fontId="29" fillId="0" borderId="218" xfId="0" applyNumberFormat="1" applyFont="1" applyFill="1" applyBorder="1" applyAlignment="1" applyProtection="1">
      <alignment horizontal="center" vertical="center"/>
    </xf>
    <xf numFmtId="166" fontId="12" fillId="0" borderId="0" xfId="0" applyNumberFormat="1" applyFont="1" applyFill="1" applyBorder="1" applyAlignment="1" applyProtection="1">
      <alignment horizontal="center" vertical="center"/>
    </xf>
    <xf numFmtId="166" fontId="12" fillId="55" borderId="0" xfId="0" applyNumberFormat="1" applyFont="1" applyFill="1" applyBorder="1" applyAlignment="1" applyProtection="1">
      <alignment horizontal="center" vertical="center"/>
    </xf>
    <xf numFmtId="166" fontId="29" fillId="55" borderId="215" xfId="0" applyNumberFormat="1" applyFont="1" applyFill="1" applyBorder="1" applyAlignment="1" applyProtection="1">
      <alignment horizontal="center" vertical="center"/>
    </xf>
    <xf numFmtId="166" fontId="29" fillId="0" borderId="0" xfId="0" applyNumberFormat="1" applyFont="1" applyFill="1" applyBorder="1" applyAlignment="1" applyProtection="1">
      <alignment horizontal="center" vertical="center"/>
    </xf>
    <xf numFmtId="166" fontId="29" fillId="0" borderId="212" xfId="0" applyNumberFormat="1" applyFont="1" applyFill="1" applyBorder="1" applyAlignment="1" applyProtection="1">
      <alignment horizontal="center" vertical="center"/>
    </xf>
    <xf numFmtId="166" fontId="29" fillId="0" borderId="215" xfId="0" applyNumberFormat="1" applyFont="1" applyFill="1" applyBorder="1" applyAlignment="1" applyProtection="1">
      <alignment horizontal="center" vertical="center"/>
    </xf>
    <xf numFmtId="1" fontId="12" fillId="0" borderId="222" xfId="0" applyNumberFormat="1" applyFont="1" applyBorder="1" applyAlignment="1" applyProtection="1">
      <alignment horizontal="center" vertical="center"/>
      <protection hidden="1"/>
    </xf>
    <xf numFmtId="166" fontId="29" fillId="0" borderId="224" xfId="0" applyNumberFormat="1" applyFont="1" applyFill="1" applyBorder="1" applyAlignment="1" applyProtection="1">
      <alignment horizontal="center" vertical="center"/>
    </xf>
    <xf numFmtId="166" fontId="12" fillId="0" borderId="225" xfId="0" applyNumberFormat="1" applyFont="1" applyFill="1" applyBorder="1" applyAlignment="1" applyProtection="1">
      <alignment horizontal="center" vertical="center"/>
    </xf>
    <xf numFmtId="166" fontId="12" fillId="55" borderId="225" xfId="0" applyNumberFormat="1" applyFont="1" applyFill="1" applyBorder="1" applyAlignment="1" applyProtection="1">
      <alignment horizontal="center" vertical="center"/>
    </xf>
    <xf numFmtId="166" fontId="29" fillId="55" borderId="226" xfId="0" applyNumberFormat="1" applyFont="1" applyFill="1" applyBorder="1" applyAlignment="1" applyProtection="1">
      <alignment horizontal="center" vertical="center"/>
    </xf>
    <xf numFmtId="166" fontId="29" fillId="55" borderId="225" xfId="0" applyNumberFormat="1" applyFont="1" applyFill="1" applyBorder="1" applyAlignment="1" applyProtection="1">
      <alignment horizontal="center" vertical="center"/>
    </xf>
    <xf numFmtId="166" fontId="29" fillId="0" borderId="227" xfId="0" applyNumberFormat="1" applyFont="1" applyFill="1" applyBorder="1" applyAlignment="1" applyProtection="1">
      <alignment horizontal="center" vertical="center"/>
    </xf>
    <xf numFmtId="166" fontId="12" fillId="0" borderId="228" xfId="0" applyNumberFormat="1" applyFont="1" applyFill="1" applyBorder="1" applyAlignment="1" applyProtection="1">
      <alignment horizontal="center" vertical="center"/>
    </xf>
    <xf numFmtId="166" fontId="29" fillId="0" borderId="226" xfId="0" applyNumberFormat="1" applyFont="1" applyFill="1" applyBorder="1" applyAlignment="1" applyProtection="1">
      <alignment horizontal="center" vertical="center"/>
    </xf>
    <xf numFmtId="1" fontId="12" fillId="0" borderId="229" xfId="0" applyNumberFormat="1" applyFont="1" applyBorder="1" applyAlignment="1" applyProtection="1">
      <alignment horizontal="center" vertical="center"/>
      <protection hidden="1"/>
    </xf>
    <xf numFmtId="1" fontId="12" fillId="0" borderId="229" xfId="0" applyNumberFormat="1" applyFont="1" applyFill="1" applyBorder="1" applyAlignment="1" applyProtection="1">
      <alignment horizontal="center" vertical="center"/>
    </xf>
    <xf numFmtId="166" fontId="12" fillId="0" borderId="230" xfId="0" applyNumberFormat="1" applyFont="1" applyFill="1" applyBorder="1" applyAlignment="1" applyProtection="1">
      <alignment horizontal="center" vertical="center"/>
    </xf>
    <xf numFmtId="0" fontId="9" fillId="0" borderId="219" xfId="0" applyFont="1" applyBorder="1" applyAlignment="1" applyProtection="1">
      <alignment vertical="center"/>
    </xf>
    <xf numFmtId="0" fontId="4" fillId="48" borderId="231" xfId="0" applyFont="1" applyFill="1" applyBorder="1" applyAlignment="1" applyProtection="1">
      <alignment vertical="center"/>
    </xf>
    <xf numFmtId="0" fontId="4" fillId="48" borderId="231" xfId="0" applyFont="1" applyFill="1" applyBorder="1" applyAlignment="1" applyProtection="1">
      <alignment horizontal="center" vertical="center"/>
    </xf>
    <xf numFmtId="0" fontId="2" fillId="0" borderId="219" xfId="0" applyFont="1" applyBorder="1" applyAlignment="1" applyProtection="1">
      <alignment vertical="center"/>
    </xf>
    <xf numFmtId="0" fontId="4" fillId="48" borderId="232" xfId="0" applyFont="1" applyFill="1" applyBorder="1" applyAlignment="1" applyProtection="1">
      <alignment vertical="center"/>
    </xf>
    <xf numFmtId="0" fontId="4" fillId="48" borderId="222" xfId="0" applyFont="1" applyFill="1" applyBorder="1" applyAlignment="1" applyProtection="1">
      <alignment vertical="center"/>
    </xf>
    <xf numFmtId="0" fontId="4" fillId="48" borderId="222" xfId="0" applyFont="1" applyFill="1" applyBorder="1" applyAlignment="1" applyProtection="1">
      <alignment horizontal="center" vertical="center"/>
    </xf>
    <xf numFmtId="0" fontId="2" fillId="0" borderId="233" xfId="0" applyFont="1" applyBorder="1" applyAlignment="1" applyProtection="1">
      <alignment vertical="center"/>
    </xf>
    <xf numFmtId="0" fontId="2" fillId="0" borderId="231" xfId="0" applyFont="1" applyBorder="1" applyAlignment="1" applyProtection="1">
      <alignment vertical="center"/>
    </xf>
    <xf numFmtId="0" fontId="2" fillId="0" borderId="231" xfId="0" applyFont="1" applyBorder="1" applyAlignment="1" applyProtection="1">
      <alignment horizontal="center" vertical="center"/>
    </xf>
    <xf numFmtId="0" fontId="2" fillId="0" borderId="234" xfId="0" applyFont="1" applyFill="1" applyBorder="1" applyAlignment="1" applyProtection="1">
      <alignment vertical="center"/>
      <protection hidden="1"/>
    </xf>
    <xf numFmtId="0" fontId="2" fillId="0" borderId="235" xfId="0" applyFont="1" applyFill="1" applyBorder="1" applyAlignment="1" applyProtection="1">
      <alignment vertical="center"/>
      <protection hidden="1"/>
    </xf>
    <xf numFmtId="0" fontId="2" fillId="0" borderId="236" xfId="0" applyFont="1" applyFill="1" applyBorder="1" applyAlignment="1" applyProtection="1">
      <alignment vertical="center"/>
      <protection hidden="1"/>
    </xf>
    <xf numFmtId="0" fontId="9" fillId="0" borderId="237" xfId="0" applyFont="1" applyFill="1" applyBorder="1" applyAlignment="1" applyProtection="1">
      <alignment vertical="center"/>
      <protection hidden="1"/>
    </xf>
    <xf numFmtId="0" fontId="0" fillId="0" borderId="238" xfId="0" applyFill="1" applyBorder="1" applyAlignment="1" applyProtection="1">
      <alignment vertical="center"/>
      <protection hidden="1"/>
    </xf>
    <xf numFmtId="0" fontId="0" fillId="0" borderId="239" xfId="0" applyFill="1" applyBorder="1" applyAlignment="1" applyProtection="1">
      <alignment vertical="center"/>
      <protection hidden="1"/>
    </xf>
    <xf numFmtId="0" fontId="9" fillId="0" borderId="240" xfId="0" applyFont="1" applyFill="1" applyBorder="1" applyAlignment="1" applyProtection="1">
      <alignment vertical="center"/>
      <protection hidden="1"/>
    </xf>
    <xf numFmtId="0" fontId="0" fillId="0" borderId="241" xfId="0" applyFill="1" applyBorder="1" applyAlignment="1" applyProtection="1">
      <alignment vertical="center"/>
      <protection hidden="1"/>
    </xf>
    <xf numFmtId="0" fontId="0" fillId="0" borderId="242" xfId="0" applyFill="1" applyBorder="1" applyAlignment="1" applyProtection="1">
      <alignment vertical="center"/>
      <protection hidden="1"/>
    </xf>
    <xf numFmtId="166" fontId="2" fillId="0" borderId="234" xfId="0" applyNumberFormat="1" applyFont="1" applyFill="1" applyBorder="1" applyAlignment="1" applyProtection="1">
      <alignment horizontal="center" vertical="center"/>
      <protection hidden="1"/>
    </xf>
    <xf numFmtId="166" fontId="2" fillId="0" borderId="236" xfId="0" applyNumberFormat="1" applyFont="1" applyFill="1" applyBorder="1" applyAlignment="1" applyProtection="1">
      <alignment horizontal="center" vertical="center"/>
      <protection hidden="1"/>
    </xf>
    <xf numFmtId="166" fontId="0" fillId="0" borderId="237" xfId="0" applyNumberFormat="1" applyFill="1" applyBorder="1" applyAlignment="1" applyProtection="1">
      <alignment horizontal="center" vertical="center"/>
      <protection hidden="1"/>
    </xf>
    <xf numFmtId="166" fontId="0" fillId="0" borderId="239" xfId="0" applyNumberFormat="1" applyFill="1" applyBorder="1" applyAlignment="1" applyProtection="1">
      <alignment horizontal="center" vertical="center"/>
      <protection hidden="1"/>
    </xf>
    <xf numFmtId="166" fontId="0" fillId="0" borderId="240" xfId="0" applyNumberFormat="1" applyFill="1" applyBorder="1" applyAlignment="1" applyProtection="1">
      <alignment horizontal="center" vertical="center"/>
      <protection hidden="1"/>
    </xf>
    <xf numFmtId="166" fontId="0" fillId="0" borderId="242" xfId="0" applyNumberFormat="1" applyFill="1" applyBorder="1" applyAlignment="1" applyProtection="1">
      <alignment horizontal="center" vertical="center"/>
      <protection hidden="1"/>
    </xf>
    <xf numFmtId="0" fontId="29" fillId="50" borderId="3" xfId="0" applyFont="1" applyFill="1" applyBorder="1" applyAlignment="1" applyProtection="1">
      <alignment vertical="center"/>
    </xf>
    <xf numFmtId="0" fontId="0" fillId="50" borderId="112" xfId="0" applyFill="1" applyBorder="1" applyProtection="1"/>
    <xf numFmtId="0" fontId="0" fillId="50" borderId="101" xfId="0" applyFill="1" applyBorder="1" applyAlignment="1" applyProtection="1">
      <alignment horizontal="center"/>
    </xf>
    <xf numFmtId="0" fontId="0" fillId="50" borderId="113" xfId="0" applyFill="1" applyBorder="1" applyAlignment="1" applyProtection="1">
      <alignment horizontal="center"/>
    </xf>
    <xf numFmtId="0" fontId="0" fillId="50" borderId="112" xfId="0" applyFill="1" applyBorder="1" applyAlignment="1" applyProtection="1">
      <alignment horizontal="center"/>
    </xf>
    <xf numFmtId="0" fontId="29" fillId="50" borderId="5" xfId="0" applyFont="1" applyFill="1" applyBorder="1" applyAlignment="1" applyProtection="1">
      <alignment vertical="center"/>
    </xf>
    <xf numFmtId="0" fontId="0" fillId="50" borderId="24" xfId="0" applyFill="1" applyBorder="1" applyProtection="1"/>
    <xf numFmtId="0" fontId="0" fillId="50" borderId="25" xfId="0" applyFill="1" applyBorder="1" applyAlignment="1" applyProtection="1">
      <alignment horizontal="center"/>
    </xf>
    <xf numFmtId="0" fontId="90" fillId="50" borderId="25" xfId="0" applyFont="1" applyFill="1" applyBorder="1" applyAlignment="1" applyProtection="1">
      <alignment horizontal="center"/>
    </xf>
    <xf numFmtId="0" fontId="0" fillId="50" borderId="50" xfId="0" applyFill="1" applyBorder="1" applyAlignment="1" applyProtection="1">
      <alignment horizontal="center"/>
    </xf>
    <xf numFmtId="0" fontId="0" fillId="50" borderId="24" xfId="0" applyFill="1" applyBorder="1" applyAlignment="1" applyProtection="1">
      <alignment horizontal="center"/>
    </xf>
    <xf numFmtId="0" fontId="0" fillId="50" borderId="55" xfId="0" applyFill="1" applyBorder="1" applyProtection="1"/>
    <xf numFmtId="0" fontId="0" fillId="50" borderId="36" xfId="0" applyFill="1" applyBorder="1" applyAlignment="1" applyProtection="1">
      <alignment horizontal="center"/>
    </xf>
    <xf numFmtId="0" fontId="90" fillId="50" borderId="36" xfId="0" applyFont="1" applyFill="1" applyBorder="1" applyAlignment="1" applyProtection="1">
      <alignment horizontal="center"/>
    </xf>
    <xf numFmtId="0" fontId="0" fillId="50" borderId="60" xfId="0" applyFill="1" applyBorder="1" applyAlignment="1" applyProtection="1">
      <alignment horizontal="center"/>
    </xf>
    <xf numFmtId="0" fontId="0" fillId="50" borderId="55" xfId="0" applyFill="1" applyBorder="1" applyAlignment="1" applyProtection="1">
      <alignment horizontal="center"/>
    </xf>
    <xf numFmtId="0" fontId="2" fillId="50" borderId="101" xfId="0" applyFont="1" applyFill="1" applyBorder="1" applyAlignment="1" applyProtection="1">
      <alignment horizontal="center"/>
    </xf>
    <xf numFmtId="0" fontId="2" fillId="50" borderId="113" xfId="0" applyFont="1" applyFill="1" applyBorder="1" applyAlignment="1" applyProtection="1">
      <alignment horizontal="center"/>
    </xf>
    <xf numFmtId="0" fontId="2" fillId="50" borderId="29" xfId="0" applyFont="1" applyFill="1" applyBorder="1" applyAlignment="1" applyProtection="1">
      <alignment horizontal="center"/>
    </xf>
    <xf numFmtId="0" fontId="0" fillId="50" borderId="4" xfId="0" applyFill="1" applyBorder="1" applyProtection="1"/>
    <xf numFmtId="0" fontId="90" fillId="50" borderId="101" xfId="0" applyFont="1" applyFill="1" applyBorder="1" applyAlignment="1" applyProtection="1">
      <alignment horizontal="center"/>
    </xf>
    <xf numFmtId="0" fontId="0" fillId="50" borderId="0" xfId="0" applyFill="1" applyBorder="1" applyProtection="1"/>
    <xf numFmtId="0" fontId="0" fillId="50" borderId="7" xfId="0" applyFill="1" applyBorder="1" applyProtection="1"/>
    <xf numFmtId="0" fontId="92" fillId="50" borderId="36" xfId="0" applyFont="1" applyFill="1" applyBorder="1" applyAlignment="1" applyProtection="1">
      <alignment horizontal="center"/>
    </xf>
    <xf numFmtId="1" fontId="0" fillId="50" borderId="59" xfId="0" applyNumberFormat="1" applyFill="1" applyBorder="1" applyAlignment="1" applyProtection="1">
      <alignment horizontal="center" vertical="center"/>
      <protection hidden="1"/>
    </xf>
    <xf numFmtId="1" fontId="0" fillId="56" borderId="56" xfId="0" applyNumberFormat="1" applyFill="1" applyBorder="1" applyAlignment="1" applyProtection="1">
      <alignment horizontal="center" vertical="center"/>
      <protection hidden="1"/>
    </xf>
    <xf numFmtId="0" fontId="9" fillId="50" borderId="29" xfId="0" applyFont="1" applyFill="1" applyBorder="1" applyAlignment="1" applyProtection="1">
      <alignment horizontal="center" vertical="center"/>
    </xf>
    <xf numFmtId="0" fontId="0" fillId="6" borderId="63" xfId="0" applyFill="1" applyBorder="1" applyAlignment="1" applyProtection="1">
      <alignment vertical="center"/>
      <protection hidden="1"/>
    </xf>
    <xf numFmtId="0" fontId="13" fillId="50" borderId="64" xfId="0" applyFont="1" applyFill="1" applyBorder="1" applyAlignment="1" applyProtection="1">
      <alignment vertical="center"/>
    </xf>
    <xf numFmtId="0" fontId="2" fillId="2" borderId="174" xfId="0" applyFont="1" applyFill="1" applyBorder="1" applyAlignment="1" applyProtection="1">
      <alignment horizontal="center" vertical="center"/>
      <protection locked="0"/>
    </xf>
    <xf numFmtId="0" fontId="2" fillId="0" borderId="175" xfId="0" applyFont="1" applyBorder="1" applyAlignment="1" applyProtection="1">
      <alignment horizontal="center" vertical="center"/>
    </xf>
    <xf numFmtId="0" fontId="2" fillId="0" borderId="128" xfId="0" applyFont="1" applyBorder="1" applyAlignment="1" applyProtection="1">
      <alignment horizontal="center" vertical="center"/>
    </xf>
    <xf numFmtId="0" fontId="29" fillId="50" borderId="176" xfId="0" applyFont="1" applyFill="1" applyBorder="1" applyAlignment="1" applyProtection="1">
      <alignment horizontal="left"/>
    </xf>
    <xf numFmtId="0" fontId="29" fillId="50" borderId="177" xfId="0" applyFont="1" applyFill="1" applyBorder="1" applyAlignment="1" applyProtection="1">
      <alignment horizontal="left"/>
    </xf>
    <xf numFmtId="0" fontId="2" fillId="50" borderId="177" xfId="0" applyFont="1" applyFill="1" applyBorder="1" applyAlignment="1" applyProtection="1">
      <alignment vertical="center"/>
      <protection hidden="1"/>
    </xf>
    <xf numFmtId="0" fontId="29" fillId="50" borderId="177" xfId="0" applyFont="1" applyFill="1" applyBorder="1" applyAlignment="1" applyProtection="1">
      <alignment horizontal="right"/>
    </xf>
    <xf numFmtId="0" fontId="12" fillId="50" borderId="177" xfId="0" applyFont="1" applyFill="1" applyBorder="1" applyAlignment="1" applyProtection="1">
      <alignment horizontal="center" vertical="center"/>
    </xf>
    <xf numFmtId="0" fontId="12" fillId="50" borderId="160" xfId="0" applyFont="1" applyFill="1" applyBorder="1" applyAlignment="1" applyProtection="1">
      <alignment horizontal="center" vertical="center"/>
    </xf>
    <xf numFmtId="0" fontId="93" fillId="57" borderId="217" xfId="0" applyFont="1" applyFill="1" applyBorder="1" applyProtection="1"/>
    <xf numFmtId="49" fontId="0" fillId="57" borderId="218" xfId="0" applyNumberFormat="1" applyFill="1" applyBorder="1" applyProtection="1"/>
    <xf numFmtId="49" fontId="0" fillId="57" borderId="218" xfId="0" applyNumberFormat="1" applyFill="1" applyBorder="1" applyAlignment="1" applyProtection="1">
      <alignment horizontal="center"/>
    </xf>
    <xf numFmtId="0" fontId="2" fillId="57" borderId="217" xfId="0" applyFont="1" applyFill="1" applyBorder="1" applyAlignment="1" applyProtection="1">
      <alignment horizontal="left"/>
    </xf>
    <xf numFmtId="0" fontId="13" fillId="57" borderId="218" xfId="0" applyFont="1" applyFill="1" applyBorder="1" applyAlignment="1" applyProtection="1">
      <alignment horizontal="center"/>
    </xf>
    <xf numFmtId="0" fontId="0" fillId="57" borderId="243" xfId="0" applyFill="1" applyBorder="1" applyAlignment="1" applyProtection="1">
      <alignment horizontal="center"/>
    </xf>
    <xf numFmtId="0" fontId="0" fillId="57" borderId="219" xfId="0" applyFill="1" applyBorder="1" applyProtection="1"/>
    <xf numFmtId="49" fontId="0" fillId="57" borderId="0" xfId="0" applyNumberFormat="1" applyFill="1" applyBorder="1" applyProtection="1"/>
    <xf numFmtId="49" fontId="0" fillId="57" borderId="0" xfId="0" applyNumberFormat="1" applyFill="1" applyBorder="1" applyAlignment="1" applyProtection="1">
      <alignment horizontal="center"/>
    </xf>
    <xf numFmtId="0" fontId="2" fillId="57" borderId="219" xfId="0" applyFont="1" applyFill="1" applyBorder="1" applyAlignment="1" applyProtection="1">
      <alignment horizontal="left"/>
    </xf>
    <xf numFmtId="0" fontId="2" fillId="57" borderId="0" xfId="0" applyFont="1" applyFill="1" applyBorder="1" applyAlignment="1" applyProtection="1">
      <alignment horizontal="center"/>
    </xf>
    <xf numFmtId="0" fontId="0" fillId="57" borderId="223" xfId="0" applyFill="1" applyBorder="1" applyAlignment="1" applyProtection="1">
      <alignment horizontal="center"/>
    </xf>
    <xf numFmtId="0" fontId="93" fillId="57" borderId="219" xfId="0" applyFont="1" applyFill="1" applyBorder="1" applyProtection="1"/>
    <xf numFmtId="0" fontId="13" fillId="57" borderId="0" xfId="0" applyFont="1" applyFill="1" applyBorder="1" applyAlignment="1" applyProtection="1">
      <alignment horizontal="center"/>
    </xf>
    <xf numFmtId="0" fontId="94" fillId="57" borderId="232" xfId="0" applyFont="1" applyFill="1" applyBorder="1" applyAlignment="1" applyProtection="1">
      <alignment vertical="top"/>
    </xf>
    <xf numFmtId="49" fontId="0" fillId="57" borderId="222" xfId="0" applyNumberFormat="1" applyFill="1" applyBorder="1" applyProtection="1"/>
    <xf numFmtId="49" fontId="0" fillId="57" borderId="222" xfId="0" applyNumberFormat="1" applyFill="1" applyBorder="1" applyAlignment="1" applyProtection="1">
      <alignment horizontal="center"/>
    </xf>
    <xf numFmtId="0" fontId="2" fillId="57" borderId="232" xfId="0" applyFont="1" applyFill="1" applyBorder="1" applyAlignment="1" applyProtection="1">
      <alignment horizontal="left"/>
    </xf>
    <xf numFmtId="0" fontId="2" fillId="57" borderId="222" xfId="0" applyFont="1" applyFill="1" applyBorder="1" applyAlignment="1" applyProtection="1">
      <alignment horizontal="center"/>
    </xf>
    <xf numFmtId="0" fontId="0" fillId="57" borderId="244" xfId="0" applyFill="1" applyBorder="1" applyAlignment="1" applyProtection="1">
      <alignment horizontal="center"/>
    </xf>
    <xf numFmtId="0" fontId="2" fillId="57" borderId="217" xfId="0" applyFont="1" applyFill="1" applyBorder="1" applyAlignment="1" applyProtection="1">
      <alignment vertical="center"/>
      <protection hidden="1"/>
    </xf>
    <xf numFmtId="0" fontId="2" fillId="57" borderId="218" xfId="0" applyFont="1" applyFill="1" applyBorder="1" applyAlignment="1" applyProtection="1">
      <alignment vertical="center"/>
      <protection hidden="1"/>
    </xf>
    <xf numFmtId="0" fontId="2" fillId="57" borderId="243" xfId="0" applyFont="1" applyFill="1" applyBorder="1" applyAlignment="1" applyProtection="1">
      <alignment vertical="center"/>
      <protection hidden="1"/>
    </xf>
    <xf numFmtId="0" fontId="2" fillId="57" borderId="217" xfId="0" applyFont="1" applyFill="1" applyBorder="1" applyAlignment="1" applyProtection="1">
      <alignment horizontal="center"/>
    </xf>
    <xf numFmtId="0" fontId="2" fillId="57" borderId="243" xfId="0" applyFont="1" applyFill="1" applyBorder="1" applyAlignment="1" applyProtection="1">
      <alignment horizontal="center"/>
    </xf>
    <xf numFmtId="0" fontId="9" fillId="57" borderId="232" xfId="0" applyFont="1" applyFill="1" applyBorder="1" applyAlignment="1" applyProtection="1">
      <alignment vertical="center"/>
      <protection hidden="1"/>
    </xf>
    <xf numFmtId="0" fontId="0" fillId="57" borderId="222" xfId="0" applyFill="1" applyBorder="1" applyAlignment="1" applyProtection="1">
      <alignment vertical="center"/>
      <protection hidden="1"/>
    </xf>
    <xf numFmtId="0" fontId="0" fillId="57" borderId="244" xfId="0" applyFill="1" applyBorder="1" applyAlignment="1" applyProtection="1">
      <alignment vertical="center"/>
      <protection hidden="1"/>
    </xf>
    <xf numFmtId="0" fontId="4" fillId="57" borderId="217" xfId="0" applyFont="1" applyFill="1" applyBorder="1" applyAlignment="1" applyProtection="1">
      <alignment vertical="center"/>
    </xf>
    <xf numFmtId="0" fontId="4" fillId="57" borderId="218" xfId="0" applyFont="1" applyFill="1" applyBorder="1" applyAlignment="1" applyProtection="1">
      <alignment vertical="center"/>
    </xf>
    <xf numFmtId="0" fontId="4" fillId="57" borderId="218" xfId="0" applyFont="1" applyFill="1" applyBorder="1" applyAlignment="1" applyProtection="1">
      <alignment horizontal="center" vertical="center"/>
      <protection hidden="1"/>
    </xf>
    <xf numFmtId="0" fontId="4" fillId="57" borderId="243" xfId="0" applyFont="1" applyFill="1" applyBorder="1" applyAlignment="1" applyProtection="1">
      <alignment vertical="center"/>
    </xf>
    <xf numFmtId="0" fontId="13" fillId="57" borderId="209" xfId="0" applyFont="1" applyFill="1" applyBorder="1" applyAlignment="1" applyProtection="1">
      <alignment vertical="center"/>
    </xf>
    <xf numFmtId="0" fontId="13" fillId="57" borderId="219" xfId="0" applyFont="1" applyFill="1" applyBorder="1" applyAlignment="1" applyProtection="1">
      <alignment vertical="center"/>
    </xf>
    <xf numFmtId="0" fontId="13" fillId="57" borderId="0" xfId="0" applyFont="1" applyFill="1" applyBorder="1" applyAlignment="1" applyProtection="1">
      <alignment horizontal="center" vertical="center"/>
      <protection hidden="1"/>
    </xf>
    <xf numFmtId="0" fontId="29" fillId="57" borderId="0" xfId="0" applyFont="1" applyFill="1" applyBorder="1" applyAlignment="1" applyProtection="1">
      <alignment vertical="center"/>
    </xf>
    <xf numFmtId="0" fontId="29" fillId="57" borderId="223" xfId="0" applyFont="1" applyFill="1" applyBorder="1" applyAlignment="1" applyProtection="1">
      <alignment vertical="center"/>
    </xf>
    <xf numFmtId="0" fontId="29" fillId="57" borderId="210" xfId="0" applyFont="1" applyFill="1" applyBorder="1" applyAlignment="1" applyProtection="1">
      <alignment horizontal="center" vertical="center"/>
    </xf>
    <xf numFmtId="0" fontId="29" fillId="57" borderId="219" xfId="0" applyFont="1" applyFill="1" applyBorder="1" applyAlignment="1" applyProtection="1">
      <alignment horizontal="center" vertical="center"/>
    </xf>
    <xf numFmtId="0" fontId="29" fillId="57" borderId="225" xfId="0" applyFont="1" applyFill="1" applyBorder="1" applyAlignment="1" applyProtection="1">
      <alignment horizontal="center" vertical="center"/>
    </xf>
    <xf numFmtId="0" fontId="29" fillId="57" borderId="0" xfId="0" applyFont="1" applyFill="1" applyBorder="1" applyAlignment="1" applyProtection="1">
      <alignment horizontal="center" vertical="center"/>
    </xf>
    <xf numFmtId="0" fontId="29" fillId="57" borderId="245" xfId="0" applyFont="1" applyFill="1" applyBorder="1" applyAlignment="1" applyProtection="1">
      <alignment vertical="center"/>
      <protection hidden="1"/>
    </xf>
    <xf numFmtId="0" fontId="29" fillId="57" borderId="246" xfId="0" applyFont="1" applyFill="1" applyBorder="1" applyAlignment="1" applyProtection="1">
      <alignment vertical="center"/>
      <protection hidden="1"/>
    </xf>
    <xf numFmtId="0" fontId="29" fillId="57" borderId="232" xfId="0" applyFont="1" applyFill="1" applyBorder="1" applyAlignment="1" applyProtection="1">
      <alignment vertical="center"/>
    </xf>
    <xf numFmtId="0" fontId="13" fillId="57" borderId="222" xfId="0" applyFont="1" applyFill="1" applyBorder="1" applyAlignment="1" applyProtection="1">
      <alignment horizontal="center" vertical="center"/>
      <protection hidden="1"/>
    </xf>
    <xf numFmtId="0" fontId="29" fillId="57" borderId="222" xfId="0" applyFont="1" applyFill="1" applyBorder="1" applyAlignment="1" applyProtection="1">
      <alignment vertical="center"/>
    </xf>
    <xf numFmtId="0" fontId="29" fillId="57" borderId="244" xfId="0" applyFont="1" applyFill="1" applyBorder="1" applyAlignment="1" applyProtection="1">
      <alignment vertical="center"/>
    </xf>
    <xf numFmtId="0" fontId="29" fillId="57" borderId="211" xfId="0" applyFont="1" applyFill="1" applyBorder="1" applyAlignment="1" applyProtection="1">
      <alignment vertical="center"/>
      <protection hidden="1"/>
    </xf>
    <xf numFmtId="0" fontId="2" fillId="57" borderId="247" xfId="42" applyFont="1" applyFill="1" applyBorder="1" applyAlignment="1" applyProtection="1">
      <alignment vertical="center"/>
    </xf>
    <xf numFmtId="2" fontId="9" fillId="0" borderId="248" xfId="42" applyNumberFormat="1" applyFont="1" applyFill="1" applyBorder="1" applyAlignment="1" applyProtection="1">
      <alignment horizontal="center" vertical="center"/>
      <protection hidden="1"/>
    </xf>
    <xf numFmtId="0" fontId="2" fillId="57" borderId="249" xfId="42" applyFont="1" applyFill="1" applyBorder="1" applyProtection="1"/>
    <xf numFmtId="0" fontId="2" fillId="57" borderId="250" xfId="42" applyFont="1" applyFill="1" applyBorder="1" applyProtection="1"/>
    <xf numFmtId="0" fontId="2" fillId="57" borderId="251" xfId="42" applyFont="1" applyFill="1" applyBorder="1" applyAlignment="1" applyProtection="1">
      <alignment horizontal="center" vertical="center"/>
    </xf>
    <xf numFmtId="0" fontId="2" fillId="57" borderId="252" xfId="42" applyFont="1" applyFill="1" applyBorder="1" applyAlignment="1" applyProtection="1">
      <alignment horizontal="center" vertical="center"/>
    </xf>
    <xf numFmtId="0" fontId="2" fillId="57" borderId="249" xfId="42" applyFont="1" applyFill="1" applyBorder="1" applyAlignment="1" applyProtection="1">
      <alignment horizontal="center" vertical="center"/>
    </xf>
    <xf numFmtId="0" fontId="2" fillId="57" borderId="224" xfId="0" applyFont="1" applyFill="1" applyBorder="1" applyAlignment="1" applyProtection="1">
      <alignment horizontal="center" vertical="center"/>
      <protection hidden="1"/>
    </xf>
    <xf numFmtId="0" fontId="2" fillId="57" borderId="224" xfId="42" applyFont="1" applyFill="1" applyBorder="1" applyAlignment="1" applyProtection="1">
      <alignment horizontal="center" vertical="center"/>
    </xf>
    <xf numFmtId="2" fontId="9" fillId="0" borderId="247" xfId="42" applyNumberFormat="1" applyFont="1" applyFill="1" applyBorder="1" applyAlignment="1" applyProtection="1">
      <alignment horizontal="center" vertical="center"/>
      <protection hidden="1"/>
    </xf>
    <xf numFmtId="2" fontId="9" fillId="0" borderId="253" xfId="42" applyNumberFormat="1" applyFont="1" applyFill="1" applyBorder="1" applyAlignment="1" applyProtection="1">
      <alignment horizontal="center" vertical="center"/>
      <protection hidden="1"/>
    </xf>
    <xf numFmtId="166" fontId="12" fillId="0" borderId="232" xfId="0" applyNumberFormat="1" applyFont="1" applyFill="1" applyBorder="1" applyAlignment="1" applyProtection="1">
      <alignment horizontal="center" vertical="center"/>
    </xf>
    <xf numFmtId="0" fontId="12" fillId="50" borderId="254" xfId="0" applyFont="1" applyFill="1" applyBorder="1" applyAlignment="1" applyProtection="1">
      <alignment horizontal="center" vertical="center"/>
    </xf>
    <xf numFmtId="166" fontId="12" fillId="0" borderId="254" xfId="0" applyNumberFormat="1" applyFont="1" applyFill="1" applyBorder="1" applyAlignment="1" applyProtection="1">
      <alignment horizontal="center" vertical="center"/>
    </xf>
    <xf numFmtId="0" fontId="12" fillId="50" borderId="255" xfId="0" applyFont="1" applyFill="1" applyBorder="1" applyAlignment="1" applyProtection="1">
      <alignment horizontal="center" vertical="center"/>
    </xf>
    <xf numFmtId="0" fontId="9" fillId="57" borderId="6" xfId="42" applyFont="1" applyFill="1" applyBorder="1" applyAlignment="1" applyProtection="1">
      <alignment vertical="center"/>
    </xf>
    <xf numFmtId="0" fontId="2" fillId="57" borderId="44" xfId="42" applyFont="1" applyFill="1" applyBorder="1" applyAlignment="1" applyProtection="1">
      <alignment vertical="center"/>
    </xf>
    <xf numFmtId="0" fontId="2" fillId="0" borderId="44" xfId="42" applyFont="1" applyFill="1" applyBorder="1" applyAlignment="1" applyProtection="1">
      <alignment vertical="center"/>
    </xf>
    <xf numFmtId="0" fontId="0" fillId="57" borderId="0" xfId="0" applyFill="1" applyBorder="1" applyAlignment="1" applyProtection="1">
      <alignment vertical="center"/>
    </xf>
    <xf numFmtId="0" fontId="4" fillId="57" borderId="0" xfId="0" applyFont="1" applyFill="1" applyBorder="1" applyAlignment="1" applyProtection="1">
      <alignment vertical="center"/>
    </xf>
    <xf numFmtId="0" fontId="4" fillId="57" borderId="0" xfId="0" applyFont="1" applyFill="1" applyBorder="1" applyAlignment="1" applyProtection="1">
      <alignment horizontal="center" vertical="center"/>
    </xf>
    <xf numFmtId="0" fontId="0" fillId="57" borderId="217" xfId="0" applyFill="1" applyBorder="1" applyAlignment="1" applyProtection="1">
      <alignment vertical="center"/>
    </xf>
    <xf numFmtId="0" fontId="0" fillId="57" borderId="218" xfId="0" applyFill="1" applyBorder="1" applyAlignment="1" applyProtection="1">
      <alignment vertical="center"/>
    </xf>
    <xf numFmtId="0" fontId="0" fillId="57" borderId="219" xfId="0" applyFill="1" applyBorder="1" applyAlignment="1" applyProtection="1">
      <alignment vertical="center"/>
    </xf>
    <xf numFmtId="0" fontId="4" fillId="57" borderId="219" xfId="0" applyFont="1" applyFill="1" applyBorder="1" applyAlignment="1" applyProtection="1">
      <alignment vertical="center"/>
    </xf>
    <xf numFmtId="0" fontId="43" fillId="0" borderId="219" xfId="0" applyFont="1" applyFill="1" applyBorder="1" applyAlignment="1" applyProtection="1">
      <alignment vertical="center"/>
    </xf>
    <xf numFmtId="0" fontId="2" fillId="0" borderId="234" xfId="0" applyFont="1" applyFill="1" applyBorder="1" applyAlignment="1" applyProtection="1">
      <alignment vertical="center"/>
    </xf>
    <xf numFmtId="0" fontId="2" fillId="0" borderId="235" xfId="0" applyFont="1" applyFill="1" applyBorder="1" applyAlignment="1" applyProtection="1">
      <alignment vertical="center"/>
    </xf>
    <xf numFmtId="0" fontId="2" fillId="0" borderId="235" xfId="0" applyFont="1" applyFill="1" applyBorder="1" applyAlignment="1" applyProtection="1">
      <alignment horizontal="center" vertical="center"/>
    </xf>
    <xf numFmtId="0" fontId="12" fillId="50" borderId="4" xfId="0" applyFont="1" applyFill="1" applyBorder="1" applyAlignment="1" applyProtection="1">
      <alignment vertical="center"/>
    </xf>
    <xf numFmtId="0" fontId="89" fillId="50" borderId="4" xfId="0" applyFont="1" applyFill="1" applyBorder="1" applyAlignment="1" applyProtection="1">
      <alignment horizontal="left" vertical="center"/>
      <protection hidden="1"/>
    </xf>
    <xf numFmtId="0" fontId="12" fillId="50" borderId="4" xfId="0" applyFont="1" applyFill="1" applyBorder="1" applyAlignment="1" applyProtection="1">
      <alignment horizontal="center" vertical="center"/>
    </xf>
    <xf numFmtId="0" fontId="2" fillId="50" borderId="6" xfId="0" applyFont="1" applyFill="1" applyBorder="1" applyAlignment="1" applyProtection="1">
      <alignment vertical="center"/>
    </xf>
    <xf numFmtId="0" fontId="2" fillId="50" borderId="7" xfId="0" applyFont="1" applyFill="1" applyBorder="1" applyAlignment="1" applyProtection="1">
      <alignment vertical="center"/>
    </xf>
    <xf numFmtId="0" fontId="9" fillId="50" borderId="0" xfId="0" applyFont="1" applyFill="1" applyBorder="1" applyAlignment="1" applyProtection="1">
      <alignment vertical="center"/>
      <protection hidden="1"/>
    </xf>
    <xf numFmtId="0" fontId="4" fillId="57" borderId="256" xfId="0" applyFont="1" applyFill="1" applyBorder="1" applyAlignment="1" applyProtection="1">
      <alignment vertical="center"/>
    </xf>
    <xf numFmtId="0" fontId="0" fillId="57" borderId="257" xfId="0" applyFill="1" applyBorder="1" applyAlignment="1" applyProtection="1">
      <alignment vertical="center"/>
    </xf>
    <xf numFmtId="0" fontId="0" fillId="57" borderId="258" xfId="0" applyFill="1" applyBorder="1" applyAlignment="1" applyProtection="1">
      <alignment horizontal="center" vertical="center"/>
    </xf>
    <xf numFmtId="0" fontId="9" fillId="0" borderId="259" xfId="0" applyFont="1" applyBorder="1" applyAlignment="1" applyProtection="1">
      <alignment vertical="center"/>
    </xf>
    <xf numFmtId="0" fontId="2" fillId="0" borderId="260" xfId="0" applyFont="1" applyBorder="1" applyAlignment="1" applyProtection="1">
      <alignment vertical="center"/>
    </xf>
    <xf numFmtId="0" fontId="9" fillId="0" borderId="259" xfId="0" applyFont="1" applyBorder="1" applyAlignment="1" applyProtection="1">
      <alignment vertical="center"/>
      <protection hidden="1"/>
    </xf>
    <xf numFmtId="0" fontId="9" fillId="50" borderId="261" xfId="0" applyFont="1" applyFill="1" applyBorder="1" applyAlignment="1" applyProtection="1">
      <alignment vertical="center"/>
      <protection hidden="1"/>
    </xf>
    <xf numFmtId="0" fontId="4" fillId="48" borderId="262" xfId="0" applyFont="1" applyFill="1" applyBorder="1" applyAlignment="1" applyProtection="1">
      <alignment vertical="center"/>
    </xf>
    <xf numFmtId="0" fontId="4" fillId="48" borderId="263" xfId="0" applyFont="1" applyFill="1" applyBorder="1" applyAlignment="1" applyProtection="1">
      <alignment vertical="center"/>
    </xf>
    <xf numFmtId="0" fontId="4" fillId="48" borderId="263" xfId="0" applyFont="1" applyFill="1" applyBorder="1" applyAlignment="1" applyProtection="1">
      <alignment horizontal="center" vertical="center"/>
    </xf>
    <xf numFmtId="0" fontId="4" fillId="48" borderId="264" xfId="0" applyFont="1" applyFill="1" applyBorder="1" applyAlignment="1" applyProtection="1">
      <alignment horizontal="center" vertical="center"/>
    </xf>
    <xf numFmtId="0" fontId="13" fillId="50" borderId="3" xfId="0" applyFont="1" applyFill="1" applyBorder="1" applyProtection="1"/>
    <xf numFmtId="0" fontId="13" fillId="50" borderId="6" xfId="0" applyFont="1" applyFill="1" applyBorder="1" applyProtection="1"/>
    <xf numFmtId="0" fontId="0" fillId="50" borderId="36" xfId="0" applyFill="1" applyBorder="1" applyAlignment="1" applyProtection="1">
      <alignment vertical="center"/>
    </xf>
    <xf numFmtId="0" fontId="2" fillId="50" borderId="101" xfId="0" applyFont="1" applyFill="1" applyBorder="1" applyAlignment="1" applyProtection="1">
      <alignment vertical="center"/>
    </xf>
    <xf numFmtId="0" fontId="0" fillId="0" borderId="63" xfId="0" applyFill="1" applyBorder="1" applyAlignment="1" applyProtection="1">
      <alignment vertical="center"/>
    </xf>
    <xf numFmtId="0" fontId="9" fillId="0" borderId="220" xfId="0" applyFont="1" applyFill="1" applyBorder="1" applyAlignment="1" applyProtection="1">
      <alignment horizontal="left" vertical="center"/>
    </xf>
    <xf numFmtId="0" fontId="9" fillId="0" borderId="215" xfId="0" applyFont="1" applyFill="1" applyBorder="1" applyAlignment="1" applyProtection="1">
      <alignment horizontal="left" vertical="center"/>
    </xf>
    <xf numFmtId="0" fontId="4" fillId="57" borderId="257" xfId="0" applyFont="1" applyFill="1" applyBorder="1" applyAlignment="1" applyProtection="1">
      <alignment vertical="center"/>
    </xf>
    <xf numFmtId="0" fontId="4" fillId="57" borderId="258" xfId="0" applyFont="1" applyFill="1" applyBorder="1" applyAlignment="1" applyProtection="1">
      <alignment vertical="center"/>
    </xf>
    <xf numFmtId="0" fontId="43" fillId="48" borderId="233" xfId="0" applyFont="1" applyFill="1" applyBorder="1" applyAlignment="1" applyProtection="1">
      <alignment vertical="center"/>
    </xf>
    <xf numFmtId="1" fontId="12" fillId="55" borderId="245" xfId="0" applyNumberFormat="1" applyFont="1" applyFill="1" applyBorder="1" applyAlignment="1" applyProtection="1">
      <alignment horizontal="center" vertical="center"/>
    </xf>
    <xf numFmtId="1" fontId="12" fillId="55" borderId="265" xfId="0" applyNumberFormat="1" applyFont="1" applyFill="1" applyBorder="1" applyAlignment="1" applyProtection="1">
      <alignment horizontal="center" vertical="center"/>
    </xf>
    <xf numFmtId="2" fontId="9" fillId="0" borderId="0" xfId="0" applyNumberFormat="1" applyFont="1" applyFill="1"/>
    <xf numFmtId="0" fontId="13" fillId="0" borderId="178" xfId="0" applyFont="1" applyBorder="1" applyProtection="1"/>
    <xf numFmtId="0" fontId="0" fillId="0" borderId="179" xfId="0" applyBorder="1" applyProtection="1"/>
    <xf numFmtId="0" fontId="2" fillId="0" borderId="179" xfId="0" applyFont="1" applyBorder="1" applyAlignment="1" applyProtection="1">
      <alignment vertical="center"/>
      <protection hidden="1"/>
    </xf>
    <xf numFmtId="0" fontId="0" fillId="0" borderId="179" xfId="0" applyBorder="1" applyAlignment="1" applyProtection="1">
      <alignment horizontal="left"/>
    </xf>
    <xf numFmtId="0" fontId="0" fillId="0" borderId="179" xfId="0" applyBorder="1" applyAlignment="1" applyProtection="1">
      <alignment horizontal="center"/>
    </xf>
    <xf numFmtId="0" fontId="0" fillId="0" borderId="180" xfId="0" applyBorder="1" applyAlignment="1" applyProtection="1">
      <alignment horizontal="center"/>
    </xf>
    <xf numFmtId="0" fontId="2" fillId="0" borderId="0" xfId="0" applyFont="1"/>
    <xf numFmtId="0" fontId="51" fillId="0" borderId="0" xfId="0" applyFont="1"/>
    <xf numFmtId="0" fontId="0" fillId="0" borderId="266" xfId="0" applyFill="1" applyBorder="1" applyAlignment="1" applyProtection="1">
      <alignment vertical="center"/>
      <protection hidden="1"/>
    </xf>
    <xf numFmtId="0" fontId="0" fillId="0" borderId="267" xfId="0" applyFill="1" applyBorder="1" applyAlignment="1" applyProtection="1">
      <alignment vertical="center"/>
      <protection hidden="1"/>
    </xf>
    <xf numFmtId="1" fontId="0" fillId="5" borderId="268" xfId="0" applyNumberFormat="1" applyFill="1" applyBorder="1" applyAlignment="1" applyProtection="1">
      <alignment horizontal="center" vertical="center"/>
      <protection hidden="1"/>
    </xf>
    <xf numFmtId="1" fontId="0" fillId="5" borderId="266" xfId="0" applyNumberFormat="1" applyFill="1" applyBorder="1" applyAlignment="1" applyProtection="1">
      <alignment horizontal="center" vertical="center"/>
      <protection hidden="1"/>
    </xf>
    <xf numFmtId="166" fontId="0" fillId="0" borderId="268" xfId="0" applyNumberFormat="1" applyFill="1" applyBorder="1" applyAlignment="1" applyProtection="1">
      <alignment horizontal="center" vertical="center"/>
      <protection hidden="1"/>
    </xf>
    <xf numFmtId="166" fontId="0" fillId="5" borderId="267" xfId="0" applyNumberFormat="1" applyFill="1" applyBorder="1" applyAlignment="1" applyProtection="1">
      <alignment horizontal="center" vertical="center"/>
      <protection hidden="1"/>
    </xf>
    <xf numFmtId="164" fontId="0" fillId="0" borderId="0" xfId="0" applyNumberFormat="1" applyAlignment="1" applyProtection="1">
      <alignment vertical="center"/>
      <protection locked="0" hidden="1"/>
    </xf>
    <xf numFmtId="0" fontId="29" fillId="0" borderId="150" xfId="0" applyFont="1" applyFill="1" applyBorder="1" applyAlignment="1" applyProtection="1"/>
    <xf numFmtId="0" fontId="5" fillId="0" borderId="237" xfId="0" applyFont="1" applyFill="1" applyBorder="1" applyAlignment="1" applyProtection="1">
      <alignment vertical="center"/>
      <protection hidden="1"/>
    </xf>
    <xf numFmtId="0" fontId="5" fillId="0" borderId="238" xfId="0" applyFont="1" applyFill="1" applyBorder="1" applyAlignment="1" applyProtection="1">
      <alignment vertical="center"/>
      <protection hidden="1"/>
    </xf>
    <xf numFmtId="0" fontId="5" fillId="0" borderId="239" xfId="0" applyFont="1" applyFill="1" applyBorder="1" applyAlignment="1" applyProtection="1">
      <alignment vertical="center"/>
      <protection hidden="1"/>
    </xf>
    <xf numFmtId="166" fontId="5" fillId="5" borderId="239" xfId="0" applyNumberFormat="1" applyFont="1" applyFill="1" applyBorder="1" applyAlignment="1" applyProtection="1">
      <alignment horizontal="center" vertical="center"/>
      <protection hidden="1"/>
    </xf>
    <xf numFmtId="1" fontId="0" fillId="0" borderId="0" xfId="0" applyNumberFormat="1" applyAlignment="1">
      <alignment horizontal="left" vertical="center"/>
    </xf>
    <xf numFmtId="1" fontId="0" fillId="0" borderId="269" xfId="0" applyNumberFormat="1" applyFill="1" applyBorder="1" applyAlignment="1" applyProtection="1">
      <alignment horizontal="center" vertical="center"/>
      <protection hidden="1"/>
    </xf>
    <xf numFmtId="1" fontId="0" fillId="0" borderId="239" xfId="0" applyNumberFormat="1" applyFill="1" applyBorder="1" applyAlignment="1" applyProtection="1">
      <alignment horizontal="center" vertical="center"/>
      <protection hidden="1"/>
    </xf>
    <xf numFmtId="1" fontId="0" fillId="0" borderId="237" xfId="0" applyNumberFormat="1" applyFill="1" applyBorder="1" applyAlignment="1" applyProtection="1">
      <alignment horizontal="center" vertical="center"/>
      <protection hidden="1"/>
    </xf>
    <xf numFmtId="1" fontId="0" fillId="0" borderId="238" xfId="0" applyNumberFormat="1" applyFill="1" applyBorder="1" applyAlignment="1" applyProtection="1">
      <alignment horizontal="center" vertical="center"/>
      <protection hidden="1"/>
    </xf>
    <xf numFmtId="0" fontId="0" fillId="51" borderId="0" xfId="0" applyFill="1" applyAlignment="1" applyProtection="1">
      <alignment vertical="center"/>
      <protection hidden="1"/>
    </xf>
    <xf numFmtId="0" fontId="9" fillId="0" borderId="50" xfId="0" applyFont="1" applyBorder="1" applyAlignment="1" applyProtection="1">
      <alignment vertical="center"/>
      <protection locked="0" hidden="1"/>
    </xf>
    <xf numFmtId="0" fontId="9" fillId="0" borderId="0" xfId="0" applyFont="1" applyBorder="1" applyAlignment="1" applyProtection="1">
      <alignment vertical="center"/>
      <protection locked="0" hidden="1"/>
    </xf>
    <xf numFmtId="164" fontId="0" fillId="0" borderId="50" xfId="0" applyNumberFormat="1" applyBorder="1" applyAlignment="1" applyProtection="1">
      <alignment vertical="center"/>
      <protection locked="0" hidden="1"/>
    </xf>
    <xf numFmtId="164" fontId="0" fillId="0" borderId="0" xfId="0" applyNumberFormat="1" applyBorder="1" applyAlignment="1" applyProtection="1">
      <alignment vertical="center"/>
      <protection locked="0" hidden="1"/>
    </xf>
    <xf numFmtId="0" fontId="2" fillId="0" borderId="0" xfId="0" applyFont="1" applyBorder="1" applyProtection="1"/>
    <xf numFmtId="0" fontId="2" fillId="0" borderId="0" xfId="0" applyFont="1" applyFill="1" applyBorder="1" applyAlignment="1" applyProtection="1">
      <alignment horizontal="center"/>
    </xf>
    <xf numFmtId="166" fontId="0" fillId="0" borderId="0" xfId="0" applyNumberFormat="1" applyFill="1" applyBorder="1" applyAlignment="1" applyProtection="1">
      <alignment horizontal="center" vertical="center"/>
    </xf>
    <xf numFmtId="1" fontId="9" fillId="0" borderId="1" xfId="0" applyNumberFormat="1" applyFont="1" applyFill="1" applyBorder="1" applyAlignment="1" applyProtection="1">
      <alignment horizontal="center" vertical="center"/>
      <protection hidden="1"/>
    </xf>
    <xf numFmtId="1" fontId="9" fillId="0" borderId="181" xfId="0" applyNumberFormat="1" applyFont="1" applyFill="1" applyBorder="1" applyAlignment="1" applyProtection="1">
      <alignment horizontal="center" vertical="center"/>
      <protection hidden="1"/>
    </xf>
    <xf numFmtId="0" fontId="82" fillId="0" borderId="0" xfId="0" applyFont="1" applyFill="1" applyAlignment="1" applyProtection="1">
      <alignment horizontal="left" vertical="center"/>
    </xf>
    <xf numFmtId="0" fontId="12" fillId="55" borderId="1" xfId="0" applyFont="1" applyFill="1" applyBorder="1" applyAlignment="1" applyProtection="1">
      <alignment horizontal="center" vertical="center"/>
    </xf>
    <xf numFmtId="0" fontId="2" fillId="50" borderId="44" xfId="0" applyFont="1" applyFill="1" applyBorder="1" applyAlignment="1" applyProtection="1">
      <alignment vertical="center"/>
      <protection hidden="1"/>
    </xf>
    <xf numFmtId="0" fontId="2" fillId="50" borderId="45" xfId="0" applyFont="1" applyFill="1" applyBorder="1" applyAlignment="1" applyProtection="1">
      <alignment vertical="center"/>
      <protection hidden="1"/>
    </xf>
    <xf numFmtId="0" fontId="2" fillId="50" borderId="54" xfId="0" applyFont="1" applyFill="1" applyBorder="1" applyAlignment="1" applyProtection="1">
      <alignment vertical="center"/>
      <protection hidden="1"/>
    </xf>
    <xf numFmtId="0" fontId="9" fillId="52" borderId="1" xfId="0" applyFont="1" applyFill="1" applyBorder="1" applyAlignment="1" applyProtection="1">
      <alignment horizontal="center" vertical="center"/>
      <protection locked="0" hidden="1"/>
    </xf>
    <xf numFmtId="0" fontId="95" fillId="50" borderId="45" xfId="0" applyFont="1" applyFill="1" applyBorder="1" applyAlignment="1" applyProtection="1">
      <alignment horizontal="center" vertical="center"/>
      <protection hidden="1"/>
    </xf>
    <xf numFmtId="1" fontId="0" fillId="51" borderId="0" xfId="0" applyNumberFormat="1" applyFill="1"/>
    <xf numFmtId="2" fontId="5" fillId="0" borderId="237" xfId="0" applyNumberFormat="1" applyFont="1" applyFill="1" applyBorder="1" applyAlignment="1" applyProtection="1">
      <alignment horizontal="center" vertical="center"/>
      <protection hidden="1"/>
    </xf>
    <xf numFmtId="1" fontId="89" fillId="0" borderId="0" xfId="0" applyNumberFormat="1" applyFont="1" applyFill="1" applyBorder="1" applyAlignment="1" applyProtection="1">
      <alignment horizontal="left" vertical="center"/>
      <protection hidden="1"/>
    </xf>
    <xf numFmtId="0" fontId="95" fillId="0" borderId="0" xfId="0" applyFont="1" applyBorder="1" applyAlignment="1" applyProtection="1">
      <alignment horizontal="right" vertical="center"/>
      <protection hidden="1"/>
    </xf>
    <xf numFmtId="0" fontId="9" fillId="52" borderId="150" xfId="0" applyFont="1" applyFill="1" applyBorder="1" applyAlignment="1" applyProtection="1">
      <alignment horizontal="center"/>
      <protection locked="0"/>
    </xf>
    <xf numFmtId="0" fontId="29" fillId="52" borderId="146" xfId="0" applyFont="1" applyFill="1" applyBorder="1" applyAlignment="1" applyProtection="1">
      <alignment vertical="center"/>
    </xf>
    <xf numFmtId="0" fontId="0" fillId="0" borderId="145" xfId="0" applyFill="1" applyBorder="1" applyAlignment="1" applyProtection="1">
      <alignment vertical="center"/>
    </xf>
    <xf numFmtId="0" fontId="29" fillId="0" borderId="147" xfId="0" applyFont="1" applyFill="1" applyBorder="1" applyAlignment="1" applyProtection="1"/>
    <xf numFmtId="0" fontId="0" fillId="0" borderId="147" xfId="0" applyFill="1" applyBorder="1" applyAlignment="1" applyProtection="1">
      <alignment vertical="center"/>
    </xf>
    <xf numFmtId="0" fontId="0" fillId="0" borderId="150" xfId="0" applyFill="1" applyBorder="1" applyAlignment="1" applyProtection="1">
      <alignment vertical="center"/>
    </xf>
    <xf numFmtId="0" fontId="2" fillId="0" borderId="0" xfId="62" applyFont="1" applyFill="1" applyProtection="1"/>
    <xf numFmtId="0" fontId="9" fillId="0" borderId="0" xfId="62" applyFont="1" applyFill="1" applyProtection="1"/>
    <xf numFmtId="0" fontId="9" fillId="0" borderId="0" xfId="62" applyFont="1" applyFill="1" applyAlignment="1" applyProtection="1">
      <alignment horizontal="center"/>
    </xf>
    <xf numFmtId="2" fontId="9" fillId="0" borderId="0" xfId="62" applyNumberFormat="1" applyFont="1" applyBorder="1" applyAlignment="1" applyProtection="1">
      <alignment horizontal="center"/>
    </xf>
    <xf numFmtId="1" fontId="9" fillId="0" borderId="0" xfId="62" applyNumberFormat="1" applyFont="1" applyBorder="1" applyAlignment="1" applyProtection="1">
      <alignment horizontal="center"/>
    </xf>
    <xf numFmtId="0" fontId="2" fillId="0" borderId="30" xfId="62" applyFont="1" applyFill="1" applyBorder="1" applyAlignment="1" applyProtection="1"/>
    <xf numFmtId="0" fontId="2" fillId="0" borderId="30" xfId="62" applyFont="1" applyFill="1" applyBorder="1" applyAlignment="1" applyProtection="1">
      <alignment horizontal="center"/>
    </xf>
    <xf numFmtId="2" fontId="9" fillId="0" borderId="3" xfId="62" applyNumberFormat="1" applyFont="1" applyBorder="1" applyAlignment="1" applyProtection="1">
      <alignment horizontal="center"/>
    </xf>
    <xf numFmtId="1" fontId="2" fillId="0" borderId="3" xfId="62" applyNumberFormat="1" applyFont="1" applyBorder="1" applyAlignment="1" applyProtection="1">
      <alignment horizontal="center"/>
    </xf>
    <xf numFmtId="1" fontId="2" fillId="0" borderId="30" xfId="49" applyNumberFormat="1" applyFont="1" applyBorder="1" applyAlignment="1" applyProtection="1">
      <alignment horizontal="center" vertical="center" wrapText="1"/>
    </xf>
    <xf numFmtId="0" fontId="2" fillId="0" borderId="32" xfId="62" applyFont="1" applyFill="1" applyBorder="1" applyAlignment="1" applyProtection="1">
      <alignment horizontal="center"/>
    </xf>
    <xf numFmtId="0" fontId="2" fillId="0" borderId="32" xfId="62" applyFont="1" applyFill="1" applyBorder="1" applyAlignment="1" applyProtection="1">
      <alignment horizontal="center" vertical="center"/>
    </xf>
    <xf numFmtId="0" fontId="2" fillId="0" borderId="5" xfId="62" applyFont="1" applyFill="1" applyBorder="1" applyAlignment="1" applyProtection="1">
      <alignment vertical="center"/>
    </xf>
    <xf numFmtId="0" fontId="2" fillId="0" borderId="0" xfId="62" applyFont="1" applyFill="1" applyBorder="1" applyAlignment="1" applyProtection="1">
      <alignment vertical="center"/>
    </xf>
    <xf numFmtId="2" fontId="2" fillId="0" borderId="5" xfId="37" applyNumberFormat="1" applyFont="1" applyFill="1" applyBorder="1" applyAlignment="1" applyProtection="1">
      <alignment horizontal="center" vertical="center"/>
    </xf>
    <xf numFmtId="1" fontId="59" fillId="0" borderId="5" xfId="49" applyNumberFormat="1" applyFont="1" applyFill="1" applyBorder="1" applyAlignment="1" applyProtection="1">
      <alignment horizontal="center"/>
    </xf>
    <xf numFmtId="1" fontId="2" fillId="0" borderId="32" xfId="49" applyNumberFormat="1" applyFont="1" applyBorder="1" applyAlignment="1" applyProtection="1">
      <alignment horizontal="center" vertical="center" wrapText="1"/>
    </xf>
    <xf numFmtId="0" fontId="2" fillId="0" borderId="34" xfId="62" applyFont="1" applyFill="1" applyBorder="1" applyProtection="1"/>
    <xf numFmtId="0" fontId="2" fillId="0" borderId="34" xfId="62" applyFont="1" applyFill="1" applyBorder="1" applyAlignment="1" applyProtection="1">
      <alignment horizontal="center"/>
    </xf>
    <xf numFmtId="0" fontId="2" fillId="0" borderId="8" xfId="62" applyFont="1" applyFill="1" applyBorder="1" applyAlignment="1" applyProtection="1">
      <alignment horizontal="center"/>
    </xf>
    <xf numFmtId="0" fontId="2" fillId="0" borderId="36" xfId="62" applyFont="1" applyFill="1" applyBorder="1" applyAlignment="1" applyProtection="1">
      <alignment horizontal="center"/>
    </xf>
    <xf numFmtId="2" fontId="13" fillId="0" borderId="6" xfId="37" applyNumberFormat="1" applyFont="1" applyFill="1" applyBorder="1" applyAlignment="1" applyProtection="1">
      <alignment horizontal="center"/>
    </xf>
    <xf numFmtId="1" fontId="6" fillId="0" borderId="6" xfId="49" applyNumberFormat="1" applyFont="1" applyFill="1" applyBorder="1" applyAlignment="1" applyProtection="1">
      <alignment horizontal="center" vertical="center" wrapText="1"/>
    </xf>
    <xf numFmtId="1" fontId="2" fillId="0" borderId="34" xfId="49" applyNumberFormat="1" applyFont="1" applyBorder="1" applyAlignment="1" applyProtection="1">
      <alignment horizontal="center" vertical="center" wrapText="1"/>
    </xf>
    <xf numFmtId="0" fontId="2" fillId="0" borderId="30" xfId="62" applyFont="1" applyFill="1" applyBorder="1" applyProtection="1"/>
    <xf numFmtId="0" fontId="2" fillId="0" borderId="0" xfId="62" applyFont="1" applyFill="1" applyBorder="1" applyProtection="1"/>
    <xf numFmtId="0" fontId="2" fillId="0" borderId="43" xfId="62" applyFont="1" applyFill="1" applyBorder="1" applyAlignment="1" applyProtection="1">
      <alignment horizontal="center"/>
    </xf>
    <xf numFmtId="0" fontId="2" fillId="0" borderId="25" xfId="62" applyFont="1" applyFill="1" applyBorder="1" applyAlignment="1" applyProtection="1">
      <alignment horizontal="center"/>
    </xf>
    <xf numFmtId="2" fontId="2" fillId="0" borderId="30" xfId="62" applyNumberFormat="1" applyFont="1" applyBorder="1" applyAlignment="1" applyProtection="1">
      <alignment horizontal="center"/>
    </xf>
    <xf numFmtId="1" fontId="2" fillId="0" borderId="112" xfId="62" applyNumberFormat="1" applyFont="1" applyBorder="1" applyAlignment="1" applyProtection="1">
      <alignment horizontal="center"/>
    </xf>
    <xf numFmtId="1" fontId="2" fillId="0" borderId="30" xfId="62" applyNumberFormat="1" applyFont="1" applyBorder="1" applyAlignment="1" applyProtection="1">
      <alignment horizontal="center"/>
    </xf>
    <xf numFmtId="0" fontId="9" fillId="0" borderId="41" xfId="62" applyFont="1" applyFill="1" applyBorder="1" applyProtection="1"/>
    <xf numFmtId="0" fontId="9" fillId="0" borderId="13" xfId="62" applyFont="1" applyFill="1" applyBorder="1" applyProtection="1"/>
    <xf numFmtId="0" fontId="9" fillId="0" borderId="41" xfId="62" applyFont="1" applyFill="1" applyBorder="1" applyAlignment="1" applyProtection="1">
      <alignment horizontal="center"/>
    </xf>
    <xf numFmtId="2" fontId="9" fillId="0" borderId="40" xfId="62" applyNumberFormat="1" applyFont="1" applyFill="1" applyBorder="1" applyAlignment="1" applyProtection="1">
      <alignment horizontal="center"/>
    </xf>
    <xf numFmtId="2" fontId="9" fillId="0" borderId="22" xfId="62" applyNumberFormat="1" applyFont="1" applyFill="1" applyBorder="1" applyAlignment="1" applyProtection="1">
      <alignment horizontal="center"/>
    </xf>
    <xf numFmtId="2" fontId="9" fillId="0" borderId="41" xfId="62" applyNumberFormat="1" applyFont="1" applyFill="1" applyBorder="1" applyAlignment="1" applyProtection="1">
      <alignment horizontal="center"/>
    </xf>
    <xf numFmtId="1" fontId="9" fillId="0" borderId="40" xfId="62" applyNumberFormat="1" applyFont="1" applyFill="1" applyBorder="1" applyAlignment="1" applyProtection="1">
      <alignment horizontal="center"/>
    </xf>
    <xf numFmtId="1" fontId="9" fillId="0" borderId="41" xfId="62" applyNumberFormat="1" applyFont="1" applyFill="1" applyBorder="1" applyAlignment="1" applyProtection="1">
      <alignment horizontal="center"/>
    </xf>
    <xf numFmtId="0" fontId="9" fillId="0" borderId="32" xfId="62" applyFont="1" applyFill="1" applyBorder="1" applyProtection="1"/>
    <xf numFmtId="0" fontId="9" fillId="0" borderId="0" xfId="62" applyFont="1" applyFill="1" applyBorder="1" applyProtection="1"/>
    <xf numFmtId="0" fontId="9" fillId="0" borderId="32" xfId="62" applyFont="1" applyFill="1" applyBorder="1" applyAlignment="1" applyProtection="1">
      <alignment horizontal="center"/>
    </xf>
    <xf numFmtId="2" fontId="9" fillId="0" borderId="43" xfId="62" applyNumberFormat="1" applyFont="1" applyFill="1" applyBorder="1" applyAlignment="1" applyProtection="1">
      <alignment horizontal="center"/>
    </xf>
    <xf numFmtId="2" fontId="9" fillId="0" borderId="25" xfId="62" applyNumberFormat="1" applyFont="1" applyFill="1" applyBorder="1" applyAlignment="1" applyProtection="1">
      <alignment horizontal="center"/>
    </xf>
    <xf numFmtId="2" fontId="9" fillId="0" borderId="32" xfId="62" applyNumberFormat="1" applyFont="1" applyFill="1" applyBorder="1" applyAlignment="1" applyProtection="1">
      <alignment horizontal="center"/>
    </xf>
    <xf numFmtId="1" fontId="9" fillId="0" borderId="43" xfId="62" applyNumberFormat="1" applyFont="1" applyFill="1" applyBorder="1" applyAlignment="1" applyProtection="1">
      <alignment horizontal="center"/>
    </xf>
    <xf numFmtId="1" fontId="9" fillId="0" borderId="32" xfId="62" applyNumberFormat="1" applyFont="1" applyFill="1" applyBorder="1" applyAlignment="1" applyProtection="1">
      <alignment horizontal="center"/>
    </xf>
    <xf numFmtId="0" fontId="9" fillId="0" borderId="38" xfId="62" applyFont="1" applyFill="1" applyBorder="1" applyProtection="1"/>
    <xf numFmtId="0" fontId="9" fillId="0" borderId="2" xfId="62" applyFont="1" applyFill="1" applyBorder="1" applyProtection="1"/>
    <xf numFmtId="0" fontId="9" fillId="0" borderId="38" xfId="62" applyFont="1" applyFill="1" applyBorder="1" applyAlignment="1" applyProtection="1">
      <alignment horizontal="center"/>
    </xf>
    <xf numFmtId="2" fontId="9" fillId="0" borderId="11" xfId="62" applyNumberFormat="1" applyFont="1" applyFill="1" applyBorder="1" applyAlignment="1" applyProtection="1">
      <alignment horizontal="center"/>
    </xf>
    <xf numFmtId="2" fontId="9" fillId="0" borderId="17" xfId="62" applyNumberFormat="1" applyFont="1" applyFill="1" applyBorder="1" applyAlignment="1" applyProtection="1">
      <alignment horizontal="center"/>
    </xf>
    <xf numFmtId="2" fontId="9" fillId="0" borderId="38" xfId="62" applyNumberFormat="1" applyFont="1" applyFill="1" applyBorder="1" applyAlignment="1" applyProtection="1">
      <alignment horizontal="center"/>
    </xf>
    <xf numFmtId="1" fontId="9" fillId="0" borderId="11" xfId="62" applyNumberFormat="1" applyFont="1" applyFill="1" applyBorder="1" applyAlignment="1" applyProtection="1">
      <alignment horizontal="center"/>
    </xf>
    <xf numFmtId="1" fontId="9" fillId="0" borderId="38" xfId="62" applyNumberFormat="1" applyFont="1" applyFill="1" applyBorder="1" applyAlignment="1" applyProtection="1">
      <alignment horizontal="center"/>
    </xf>
    <xf numFmtId="0" fontId="2" fillId="0" borderId="115" xfId="62" applyFont="1" applyFill="1" applyBorder="1" applyProtection="1"/>
    <xf numFmtId="0" fontId="9" fillId="0" borderId="97" xfId="62" applyFont="1" applyFill="1" applyBorder="1" applyProtection="1"/>
    <xf numFmtId="0" fontId="9" fillId="0" borderId="115" xfId="62" applyFont="1" applyFill="1" applyBorder="1" applyAlignment="1" applyProtection="1">
      <alignment horizontal="center"/>
    </xf>
    <xf numFmtId="2" fontId="9" fillId="0" borderId="117" xfId="62" applyNumberFormat="1" applyFont="1" applyFill="1" applyBorder="1" applyAlignment="1" applyProtection="1">
      <alignment horizontal="center"/>
    </xf>
    <xf numFmtId="2" fontId="9" fillId="0" borderId="1" xfId="62" applyNumberFormat="1" applyFont="1" applyFill="1" applyBorder="1" applyAlignment="1" applyProtection="1">
      <alignment horizontal="center"/>
    </xf>
    <xf numFmtId="2" fontId="9" fillId="0" borderId="115" xfId="62" applyNumberFormat="1" applyFont="1" applyFill="1" applyBorder="1" applyAlignment="1" applyProtection="1">
      <alignment horizontal="center"/>
    </xf>
    <xf numFmtId="1" fontId="9" fillId="0" borderId="117" xfId="62" applyNumberFormat="1" applyFont="1" applyFill="1" applyBorder="1" applyAlignment="1" applyProtection="1">
      <alignment horizontal="center"/>
    </xf>
    <xf numFmtId="1" fontId="9" fillId="0" borderId="115" xfId="62" applyNumberFormat="1" applyFont="1" applyFill="1" applyBorder="1" applyAlignment="1" applyProtection="1">
      <alignment horizontal="center"/>
    </xf>
    <xf numFmtId="0" fontId="2" fillId="0" borderId="97" xfId="62" applyFont="1" applyFill="1" applyBorder="1" applyProtection="1"/>
    <xf numFmtId="0" fontId="2" fillId="0" borderId="115" xfId="62" applyFont="1" applyFill="1" applyBorder="1" applyAlignment="1" applyProtection="1">
      <alignment horizontal="center"/>
    </xf>
    <xf numFmtId="2" fontId="2" fillId="0" borderId="19" xfId="62" applyNumberFormat="1" applyFont="1" applyFill="1" applyBorder="1" applyAlignment="1" applyProtection="1">
      <alignment horizontal="center"/>
    </xf>
    <xf numFmtId="2" fontId="2" fillId="0" borderId="1" xfId="62" applyNumberFormat="1" applyFont="1" applyFill="1" applyBorder="1" applyAlignment="1" applyProtection="1">
      <alignment horizontal="center"/>
    </xf>
    <xf numFmtId="2" fontId="2" fillId="0" borderId="115" xfId="62" applyNumberFormat="1" applyFont="1" applyFill="1" applyBorder="1" applyAlignment="1" applyProtection="1">
      <alignment horizontal="center"/>
    </xf>
    <xf numFmtId="1" fontId="2" fillId="0" borderId="117" xfId="62" applyNumberFormat="1" applyFont="1" applyFill="1" applyBorder="1" applyAlignment="1" applyProtection="1">
      <alignment horizontal="center"/>
    </xf>
    <xf numFmtId="1" fontId="2" fillId="0" borderId="115" xfId="62" applyNumberFormat="1" applyFont="1" applyFill="1" applyBorder="1" applyAlignment="1" applyProtection="1">
      <alignment horizontal="center"/>
    </xf>
    <xf numFmtId="2" fontId="9" fillId="0" borderId="21" xfId="62" applyNumberFormat="1" applyFont="1" applyFill="1" applyBorder="1" applyAlignment="1" applyProtection="1">
      <alignment horizontal="center"/>
    </xf>
    <xf numFmtId="2" fontId="9" fillId="0" borderId="24" xfId="62" applyNumberFormat="1" applyFont="1" applyFill="1" applyBorder="1" applyAlignment="1" applyProtection="1">
      <alignment horizontal="center"/>
    </xf>
    <xf numFmtId="2" fontId="9" fillId="0" borderId="16" xfId="62" applyNumberFormat="1" applyFont="1" applyFill="1" applyBorder="1" applyAlignment="1" applyProtection="1">
      <alignment horizontal="center"/>
    </xf>
    <xf numFmtId="2" fontId="9" fillId="0" borderId="19" xfId="62" applyNumberFormat="1" applyFont="1" applyFill="1" applyBorder="1" applyAlignment="1" applyProtection="1">
      <alignment horizontal="center"/>
    </xf>
    <xf numFmtId="0" fontId="9" fillId="0" borderId="32" xfId="62" applyFont="1" applyBorder="1" applyProtection="1"/>
    <xf numFmtId="2" fontId="9" fillId="0" borderId="32" xfId="31" applyNumberFormat="1" applyFont="1" applyFill="1" applyBorder="1" applyAlignment="1" applyProtection="1">
      <alignment horizontal="center"/>
    </xf>
    <xf numFmtId="1" fontId="9" fillId="0" borderId="32" xfId="37" applyNumberFormat="1" applyFont="1" applyFill="1" applyBorder="1" applyAlignment="1" applyProtection="1">
      <alignment horizontal="center"/>
    </xf>
    <xf numFmtId="0" fontId="91" fillId="0" borderId="41" xfId="62" applyFont="1" applyFill="1" applyBorder="1" applyProtection="1"/>
    <xf numFmtId="0" fontId="9" fillId="0" borderId="13" xfId="62" applyFont="1" applyFill="1" applyBorder="1" applyAlignment="1" applyProtection="1">
      <alignment horizontal="left"/>
    </xf>
    <xf numFmtId="0" fontId="91" fillId="0" borderId="32" xfId="62" applyFont="1" applyFill="1" applyBorder="1" applyProtection="1"/>
    <xf numFmtId="0" fontId="9" fillId="0" borderId="0" xfId="62" applyFont="1" applyFill="1" applyBorder="1" applyAlignment="1" applyProtection="1">
      <alignment horizontal="left"/>
    </xf>
    <xf numFmtId="0" fontId="9" fillId="0" borderId="32" xfId="62" applyFont="1" applyFill="1" applyBorder="1" applyAlignment="1" applyProtection="1">
      <alignment wrapText="1"/>
    </xf>
    <xf numFmtId="0" fontId="9" fillId="0" borderId="24" xfId="62" applyFont="1" applyFill="1" applyBorder="1" applyAlignment="1" applyProtection="1">
      <alignment horizontal="center"/>
    </xf>
    <xf numFmtId="0" fontId="9" fillId="0" borderId="25" xfId="62" applyFont="1" applyFill="1" applyBorder="1" applyAlignment="1" applyProtection="1">
      <alignment horizontal="center"/>
    </xf>
    <xf numFmtId="1" fontId="9" fillId="0" borderId="43" xfId="61" applyNumberFormat="1" applyFont="1" applyFill="1" applyBorder="1" applyAlignment="1" applyProtection="1">
      <alignment horizontal="center" vertical="center" wrapText="1"/>
    </xf>
    <xf numFmtId="1" fontId="9" fillId="0" borderId="32" xfId="63" applyNumberFormat="1" applyFont="1" applyFill="1" applyBorder="1" applyAlignment="1" applyProtection="1">
      <alignment horizontal="center"/>
    </xf>
    <xf numFmtId="0" fontId="9" fillId="0" borderId="34" xfId="62" applyFont="1" applyFill="1" applyBorder="1" applyProtection="1"/>
    <xf numFmtId="0" fontId="9" fillId="0" borderId="7" xfId="62" applyFont="1" applyFill="1" applyBorder="1" applyProtection="1"/>
    <xf numFmtId="0" fontId="9" fillId="0" borderId="34" xfId="62" applyFont="1" applyFill="1" applyBorder="1" applyAlignment="1" applyProtection="1">
      <alignment horizontal="center"/>
    </xf>
    <xf numFmtId="0" fontId="9" fillId="0" borderId="55" xfId="62" applyFont="1" applyFill="1" applyBorder="1" applyAlignment="1" applyProtection="1">
      <alignment horizontal="center"/>
    </xf>
    <xf numFmtId="0" fontId="9" fillId="0" borderId="36" xfId="62" applyFont="1" applyFill="1" applyBorder="1" applyAlignment="1" applyProtection="1">
      <alignment horizontal="center"/>
    </xf>
    <xf numFmtId="2" fontId="9" fillId="0" borderId="33" xfId="62" applyNumberFormat="1" applyFont="1" applyFill="1" applyBorder="1" applyAlignment="1" applyProtection="1">
      <alignment horizontal="center"/>
    </xf>
    <xf numFmtId="1" fontId="9" fillId="0" borderId="34" xfId="62" applyNumberFormat="1" applyFont="1" applyFill="1" applyBorder="1" applyAlignment="1" applyProtection="1">
      <alignment horizontal="center"/>
    </xf>
    <xf numFmtId="1" fontId="9" fillId="0" borderId="33" xfId="62" applyNumberFormat="1" applyFont="1" applyFill="1" applyBorder="1" applyAlignment="1" applyProtection="1">
      <alignment horizontal="center"/>
    </xf>
    <xf numFmtId="0" fontId="2" fillId="0" borderId="57" xfId="0" applyFont="1" applyBorder="1" applyProtection="1"/>
    <xf numFmtId="0" fontId="2" fillId="0" borderId="63" xfId="0" applyFont="1" applyBorder="1" applyProtection="1"/>
    <xf numFmtId="0" fontId="2" fillId="0" borderId="57" xfId="0" applyFont="1" applyBorder="1" applyAlignment="1" applyProtection="1">
      <alignment horizontal="center"/>
    </xf>
    <xf numFmtId="0" fontId="2" fillId="0" borderId="120" xfId="0" applyFont="1" applyBorder="1" applyAlignment="1" applyProtection="1">
      <alignment horizontal="center"/>
    </xf>
    <xf numFmtId="0" fontId="2" fillId="0" borderId="121" xfId="0" applyFont="1" applyBorder="1" applyAlignment="1" applyProtection="1">
      <alignment horizontal="center"/>
    </xf>
    <xf numFmtId="0" fontId="2" fillId="0" borderId="122" xfId="0" applyFont="1" applyBorder="1" applyAlignment="1" applyProtection="1">
      <alignment horizontal="center"/>
    </xf>
    <xf numFmtId="1" fontId="9" fillId="0" borderId="24" xfId="62" applyNumberFormat="1" applyFont="1" applyFill="1" applyBorder="1" applyAlignment="1" applyProtection="1">
      <alignment horizontal="center"/>
    </xf>
    <xf numFmtId="0" fontId="9" fillId="0" borderId="32" xfId="0" applyFont="1" applyFill="1" applyBorder="1" applyProtection="1"/>
    <xf numFmtId="0" fontId="9" fillId="0" borderId="32" xfId="0" applyFont="1" applyFill="1" applyBorder="1" applyAlignment="1" applyProtection="1">
      <alignment horizontal="center"/>
    </xf>
    <xf numFmtId="2" fontId="9" fillId="0" borderId="41" xfId="31" applyNumberFormat="1" applyFont="1" applyFill="1" applyBorder="1" applyAlignment="1" applyProtection="1">
      <alignment horizontal="center"/>
    </xf>
    <xf numFmtId="1" fontId="9" fillId="0" borderId="41" xfId="37" applyNumberFormat="1" applyFont="1" applyFill="1" applyBorder="1" applyAlignment="1" applyProtection="1">
      <alignment horizontal="center"/>
    </xf>
    <xf numFmtId="0" fontId="9" fillId="0" borderId="32" xfId="62" applyFont="1" applyBorder="1" applyAlignment="1" applyProtection="1">
      <alignment horizontal="center"/>
    </xf>
    <xf numFmtId="0" fontId="9" fillId="0" borderId="43" xfId="0" applyFont="1" applyFill="1" applyBorder="1" applyAlignment="1" applyProtection="1">
      <alignment horizontal="center"/>
    </xf>
    <xf numFmtId="0" fontId="9" fillId="0" borderId="25" xfId="0" applyFont="1" applyFill="1" applyBorder="1" applyAlignment="1" applyProtection="1">
      <alignment horizontal="center"/>
    </xf>
    <xf numFmtId="2" fontId="9" fillId="0" borderId="25" xfId="0" applyNumberFormat="1" applyFont="1" applyFill="1" applyBorder="1" applyAlignment="1" applyProtection="1">
      <alignment horizontal="center"/>
    </xf>
    <xf numFmtId="2" fontId="9" fillId="0" borderId="43" xfId="0" applyNumberFormat="1" applyFont="1" applyFill="1" applyBorder="1" applyAlignment="1" applyProtection="1">
      <alignment horizontal="center"/>
    </xf>
    <xf numFmtId="2" fontId="9" fillId="0" borderId="43" xfId="62" applyNumberFormat="1" applyFont="1" applyBorder="1" applyAlignment="1" applyProtection="1">
      <alignment horizontal="center"/>
    </xf>
    <xf numFmtId="2" fontId="9" fillId="0" borderId="25" xfId="62" applyNumberFormat="1" applyFont="1" applyBorder="1" applyAlignment="1" applyProtection="1">
      <alignment horizontal="center"/>
    </xf>
    <xf numFmtId="0" fontId="2" fillId="0" borderId="115" xfId="0" applyFont="1" applyFill="1" applyBorder="1" applyProtection="1"/>
    <xf numFmtId="0" fontId="9" fillId="0" borderId="115" xfId="0" applyFont="1" applyFill="1" applyBorder="1" applyAlignment="1" applyProtection="1">
      <alignment horizontal="center"/>
    </xf>
    <xf numFmtId="2" fontId="9" fillId="0" borderId="115" xfId="31" applyNumberFormat="1" applyFont="1" applyFill="1" applyBorder="1" applyAlignment="1" applyProtection="1">
      <alignment horizontal="center"/>
    </xf>
    <xf numFmtId="1" fontId="9" fillId="0" borderId="115" xfId="37" applyNumberFormat="1" applyFont="1" applyFill="1" applyBorder="1" applyAlignment="1" applyProtection="1">
      <alignment horizontal="center"/>
    </xf>
    <xf numFmtId="0" fontId="9" fillId="0" borderId="0" xfId="0" applyFont="1" applyFill="1" applyBorder="1" applyAlignment="1" applyProtection="1">
      <alignment vertical="top"/>
    </xf>
    <xf numFmtId="0" fontId="9" fillId="0" borderId="32" xfId="0" applyFont="1" applyFill="1" applyBorder="1" applyAlignment="1" applyProtection="1">
      <alignment horizontal="center" vertical="top"/>
    </xf>
    <xf numFmtId="0" fontId="9" fillId="0" borderId="43" xfId="0" applyFont="1" applyFill="1" applyBorder="1" applyAlignment="1" applyProtection="1">
      <alignment horizontal="center" vertical="top"/>
    </xf>
    <xf numFmtId="0" fontId="9" fillId="0" borderId="25" xfId="0" applyFont="1" applyFill="1" applyBorder="1" applyAlignment="1" applyProtection="1">
      <alignment horizontal="center" vertical="top"/>
    </xf>
    <xf numFmtId="2" fontId="9" fillId="0" borderId="25" xfId="0" applyNumberFormat="1" applyFont="1" applyFill="1" applyBorder="1" applyAlignment="1" applyProtection="1">
      <alignment horizontal="center" vertical="top"/>
    </xf>
    <xf numFmtId="0" fontId="9" fillId="0" borderId="0" xfId="0" applyFont="1" applyFill="1" applyBorder="1" applyAlignment="1" applyProtection="1">
      <alignment horizontal="center" vertical="top"/>
    </xf>
    <xf numFmtId="2" fontId="9" fillId="0" borderId="5" xfId="31" applyNumberFormat="1" applyFont="1" applyFill="1" applyBorder="1" applyAlignment="1" applyProtection="1">
      <alignment horizontal="center"/>
    </xf>
    <xf numFmtId="0" fontId="9" fillId="0" borderId="34" xfId="0" applyFont="1" applyFill="1" applyBorder="1" applyProtection="1"/>
    <xf numFmtId="0" fontId="9" fillId="0" borderId="7" xfId="0" applyFont="1" applyFill="1" applyBorder="1" applyAlignment="1" applyProtection="1">
      <alignment vertical="top"/>
    </xf>
    <xf numFmtId="0" fontId="9" fillId="0" borderId="34" xfId="0" applyFont="1" applyFill="1" applyBorder="1" applyAlignment="1" applyProtection="1">
      <alignment horizontal="center" vertical="top"/>
    </xf>
    <xf numFmtId="0" fontId="9" fillId="0" borderId="7" xfId="0" applyFont="1" applyFill="1" applyBorder="1" applyAlignment="1" applyProtection="1">
      <alignment horizontal="center" vertical="top"/>
    </xf>
    <xf numFmtId="0" fontId="9" fillId="0" borderId="36" xfId="0" applyFont="1" applyFill="1" applyBorder="1" applyAlignment="1" applyProtection="1">
      <alignment horizontal="center" vertical="top"/>
    </xf>
    <xf numFmtId="2" fontId="9" fillId="0" borderId="55" xfId="0" applyNumberFormat="1" applyFont="1" applyFill="1" applyBorder="1" applyAlignment="1" applyProtection="1">
      <alignment horizontal="center" vertical="top"/>
    </xf>
    <xf numFmtId="2" fontId="9" fillId="0" borderId="6" xfId="31" applyNumberFormat="1" applyFont="1" applyFill="1" applyBorder="1" applyAlignment="1" applyProtection="1">
      <alignment horizontal="center"/>
    </xf>
    <xf numFmtId="1" fontId="9" fillId="0" borderId="8" xfId="62" applyNumberFormat="1" applyFont="1" applyFill="1" applyBorder="1" applyAlignment="1" applyProtection="1">
      <alignment horizontal="center"/>
    </xf>
    <xf numFmtId="1" fontId="9" fillId="0" borderId="34" xfId="37" applyNumberFormat="1" applyFont="1" applyFill="1" applyBorder="1" applyAlignment="1" applyProtection="1">
      <alignment horizontal="center"/>
    </xf>
    <xf numFmtId="0" fontId="2" fillId="0" borderId="46" xfId="62" applyFont="1" applyBorder="1" applyAlignment="1" applyProtection="1"/>
    <xf numFmtId="0" fontId="2" fillId="0" borderId="45" xfId="62" applyFont="1" applyFill="1" applyBorder="1" applyAlignment="1" applyProtection="1"/>
    <xf numFmtId="0" fontId="2" fillId="0" borderId="46" xfId="62" applyFont="1" applyBorder="1" applyAlignment="1" applyProtection="1">
      <alignment horizontal="center"/>
    </xf>
    <xf numFmtId="0" fontId="2" fillId="0" borderId="47" xfId="62" applyFont="1" applyBorder="1" applyAlignment="1" applyProtection="1">
      <alignment horizontal="center"/>
    </xf>
    <xf numFmtId="0" fontId="2" fillId="0" borderId="48" xfId="62" applyFont="1" applyBorder="1" applyAlignment="1" applyProtection="1">
      <alignment horizontal="center"/>
    </xf>
    <xf numFmtId="0" fontId="2" fillId="0" borderId="32" xfId="62" applyFont="1" applyBorder="1" applyProtection="1"/>
    <xf numFmtId="0" fontId="2" fillId="0" borderId="32" xfId="62" applyFont="1" applyBorder="1" applyAlignment="1" applyProtection="1">
      <alignment horizontal="center"/>
    </xf>
    <xf numFmtId="0" fontId="2" fillId="0" borderId="43" xfId="62" applyFont="1" applyBorder="1" applyAlignment="1" applyProtection="1">
      <alignment horizontal="center"/>
    </xf>
    <xf numFmtId="0" fontId="2" fillId="0" borderId="25" xfId="62" applyFont="1" applyBorder="1" applyAlignment="1" applyProtection="1">
      <alignment horizontal="center"/>
    </xf>
    <xf numFmtId="0" fontId="79" fillId="0" borderId="41" xfId="62" applyFont="1" applyBorder="1" applyProtection="1"/>
    <xf numFmtId="0" fontId="79" fillId="0" borderId="13" xfId="62" applyFont="1" applyFill="1" applyBorder="1" applyProtection="1"/>
    <xf numFmtId="2" fontId="9" fillId="0" borderId="40" xfId="0" applyNumberFormat="1" applyFont="1" applyFill="1" applyBorder="1" applyAlignment="1" applyProtection="1">
      <alignment horizontal="center"/>
    </xf>
    <xf numFmtId="2" fontId="9" fillId="0" borderId="22" xfId="0" applyNumberFormat="1" applyFont="1" applyFill="1" applyBorder="1" applyAlignment="1" applyProtection="1">
      <alignment horizontal="center"/>
    </xf>
    <xf numFmtId="1" fontId="9" fillId="0" borderId="32" xfId="31" applyNumberFormat="1" applyFont="1" applyFill="1" applyBorder="1" applyAlignment="1" applyProtection="1">
      <alignment horizontal="center"/>
    </xf>
    <xf numFmtId="0" fontId="79" fillId="0" borderId="32" xfId="62" applyFont="1" applyBorder="1" applyProtection="1"/>
    <xf numFmtId="0" fontId="79" fillId="0" borderId="0" xfId="62" applyFont="1" applyFill="1" applyBorder="1" applyProtection="1"/>
    <xf numFmtId="0" fontId="79" fillId="0" borderId="38" xfId="62" applyFont="1" applyBorder="1" applyProtection="1"/>
    <xf numFmtId="0" fontId="79" fillId="0" borderId="2" xfId="62" applyFont="1" applyFill="1" applyBorder="1" applyProtection="1"/>
    <xf numFmtId="2" fontId="9" fillId="0" borderId="11" xfId="0" applyNumberFormat="1" applyFont="1" applyFill="1" applyBorder="1" applyAlignment="1" applyProtection="1">
      <alignment horizontal="center"/>
    </xf>
    <xf numFmtId="2" fontId="9" fillId="0" borderId="17" xfId="0" applyNumberFormat="1" applyFont="1" applyFill="1" applyBorder="1" applyAlignment="1" applyProtection="1">
      <alignment horizontal="center"/>
    </xf>
    <xf numFmtId="1" fontId="9" fillId="0" borderId="38" xfId="31" applyNumberFormat="1" applyFont="1" applyFill="1" applyBorder="1" applyAlignment="1" applyProtection="1">
      <alignment horizontal="center"/>
    </xf>
    <xf numFmtId="0" fontId="79" fillId="0" borderId="32" xfId="62" applyFont="1" applyFill="1" applyBorder="1" applyProtection="1"/>
    <xf numFmtId="0" fontId="79" fillId="0" borderId="38" xfId="62" applyFont="1" applyFill="1" applyBorder="1" applyProtection="1"/>
    <xf numFmtId="0" fontId="9" fillId="0" borderId="34" xfId="62" applyFont="1" applyFill="1" applyBorder="1" applyAlignment="1" applyProtection="1">
      <alignment horizontal="left"/>
    </xf>
    <xf numFmtId="0" fontId="9" fillId="0" borderId="7" xfId="62" applyFont="1" applyFill="1" applyBorder="1" applyAlignment="1" applyProtection="1">
      <alignment horizontal="left"/>
    </xf>
    <xf numFmtId="1" fontId="9" fillId="0" borderId="34" xfId="62" applyNumberFormat="1" applyFont="1" applyFill="1" applyBorder="1" applyProtection="1"/>
    <xf numFmtId="2" fontId="9" fillId="0" borderId="55" xfId="62" applyNumberFormat="1" applyFont="1" applyFill="1" applyBorder="1" applyAlignment="1" applyProtection="1">
      <alignment horizontal="center"/>
    </xf>
    <xf numFmtId="2" fontId="9" fillId="0" borderId="36" xfId="62" applyNumberFormat="1" applyFont="1" applyFill="1" applyBorder="1" applyAlignment="1" applyProtection="1">
      <alignment horizontal="center"/>
    </xf>
    <xf numFmtId="2" fontId="9" fillId="0" borderId="34" xfId="62" applyNumberFormat="1" applyFont="1" applyFill="1" applyBorder="1" applyAlignment="1" applyProtection="1">
      <alignment horizontal="center"/>
    </xf>
    <xf numFmtId="0" fontId="2" fillId="0" borderId="57" xfId="62" applyFont="1" applyBorder="1" applyAlignment="1" applyProtection="1">
      <alignment horizontal="left"/>
    </xf>
    <xf numFmtId="0" fontId="2" fillId="0" borderId="63" xfId="62" applyFont="1" applyBorder="1" applyAlignment="1" applyProtection="1">
      <alignment horizontal="left"/>
    </xf>
    <xf numFmtId="0" fontId="2" fillId="0" borderId="57" xfId="62" applyFont="1" applyFill="1" applyBorder="1" applyAlignment="1" applyProtection="1">
      <alignment horizontal="center"/>
    </xf>
    <xf numFmtId="0" fontId="2" fillId="0" borderId="120" xfId="62" applyFont="1" applyBorder="1" applyAlignment="1" applyProtection="1">
      <alignment horizontal="center"/>
    </xf>
    <xf numFmtId="0" fontId="2" fillId="0" borderId="121" xfId="62" applyFont="1" applyBorder="1" applyAlignment="1" applyProtection="1">
      <alignment horizontal="center"/>
    </xf>
    <xf numFmtId="2" fontId="2" fillId="0" borderId="64" xfId="37" applyNumberFormat="1" applyFont="1" applyFill="1" applyBorder="1" applyAlignment="1" applyProtection="1">
      <alignment horizontal="center"/>
    </xf>
    <xf numFmtId="1" fontId="2" fillId="0" borderId="120" xfId="49" applyNumberFormat="1" applyFont="1" applyFill="1" applyBorder="1" applyAlignment="1" applyProtection="1">
      <alignment horizontal="center" vertical="center" wrapText="1"/>
    </xf>
    <xf numFmtId="1" fontId="2" fillId="0" borderId="57" xfId="49" applyNumberFormat="1" applyFont="1" applyFill="1" applyBorder="1" applyAlignment="1" applyProtection="1">
      <alignment horizontal="center" vertical="center" wrapText="1"/>
    </xf>
    <xf numFmtId="0" fontId="9" fillId="0" borderId="32" xfId="62" applyFont="1" applyBorder="1" applyAlignment="1" applyProtection="1">
      <alignment horizontal="left"/>
    </xf>
    <xf numFmtId="0" fontId="9" fillId="0" borderId="0" xfId="62" applyFont="1" applyBorder="1" applyAlignment="1" applyProtection="1">
      <alignment horizontal="left"/>
    </xf>
    <xf numFmtId="0" fontId="9" fillId="0" borderId="32" xfId="62" applyFont="1" applyFill="1" applyBorder="1" applyAlignment="1" applyProtection="1">
      <alignment horizontal="left"/>
    </xf>
    <xf numFmtId="1" fontId="9" fillId="0" borderId="32" xfId="49" applyNumberFormat="1" applyFont="1" applyFill="1" applyBorder="1" applyAlignment="1" applyProtection="1">
      <alignment horizontal="center"/>
    </xf>
    <xf numFmtId="49" fontId="9" fillId="0" borderId="32" xfId="62" applyNumberFormat="1" applyFont="1" applyBorder="1" applyAlignment="1" applyProtection="1">
      <alignment horizontal="left"/>
    </xf>
    <xf numFmtId="0" fontId="78" fillId="0" borderId="57" xfId="0" applyFont="1" applyBorder="1" applyProtection="1"/>
    <xf numFmtId="0" fontId="9" fillId="0" borderId="57" xfId="62" applyFont="1" applyFill="1" applyBorder="1" applyAlignment="1" applyProtection="1">
      <alignment horizontal="left"/>
    </xf>
    <xf numFmtId="0" fontId="9" fillId="0" borderId="63" xfId="0" applyFont="1" applyBorder="1" applyAlignment="1" applyProtection="1">
      <alignment horizontal="center" vertical="top"/>
    </xf>
    <xf numFmtId="0" fontId="9" fillId="0" borderId="64" xfId="0" applyFont="1" applyBorder="1" applyAlignment="1" applyProtection="1">
      <alignment horizontal="centerContinuous"/>
    </xf>
    <xf numFmtId="0" fontId="9" fillId="0" borderId="121" xfId="0" applyFont="1" applyBorder="1" applyAlignment="1" applyProtection="1">
      <alignment horizontal="center"/>
    </xf>
    <xf numFmtId="2" fontId="9" fillId="0" borderId="57" xfId="62" applyNumberFormat="1" applyFont="1" applyFill="1" applyBorder="1" applyAlignment="1" applyProtection="1">
      <alignment horizontal="center"/>
    </xf>
    <xf numFmtId="1" fontId="9" fillId="0" borderId="120" xfId="62" applyNumberFormat="1" applyFont="1" applyFill="1" applyBorder="1" applyAlignment="1" applyProtection="1">
      <alignment horizontal="center"/>
    </xf>
    <xf numFmtId="1" fontId="9" fillId="0" borderId="57" xfId="62" applyNumberFormat="1" applyFont="1" applyFill="1" applyBorder="1" applyAlignment="1" applyProtection="1">
      <alignment horizontal="center"/>
    </xf>
    <xf numFmtId="0" fontId="78" fillId="0" borderId="32" xfId="0" applyFont="1" applyBorder="1" applyProtection="1"/>
    <xf numFmtId="0" fontId="9" fillId="0" borderId="0" xfId="0" applyFont="1" applyBorder="1" applyAlignment="1" applyProtection="1">
      <alignment horizontal="center" vertical="top"/>
    </xf>
    <xf numFmtId="0" fontId="9" fillId="0" borderId="5" xfId="0" applyFont="1" applyBorder="1" applyAlignment="1" applyProtection="1">
      <alignment horizontal="centerContinuous"/>
    </xf>
    <xf numFmtId="0" fontId="9" fillId="0" borderId="25" xfId="0" applyFont="1" applyBorder="1" applyAlignment="1" applyProtection="1">
      <alignment horizontal="center"/>
    </xf>
    <xf numFmtId="0" fontId="9" fillId="0" borderId="32" xfId="0" applyFont="1" applyFill="1" applyBorder="1" applyAlignment="1" applyProtection="1">
      <alignment vertical="top" wrapText="1"/>
    </xf>
    <xf numFmtId="166" fontId="9" fillId="0" borderId="5" xfId="0" applyNumberFormat="1" applyFont="1" applyFill="1" applyBorder="1" applyAlignment="1" applyProtection="1">
      <alignment horizontal="center" vertical="top"/>
    </xf>
    <xf numFmtId="166" fontId="9" fillId="0" borderId="25" xfId="0" applyNumberFormat="1" applyFont="1" applyFill="1" applyBorder="1" applyAlignment="1" applyProtection="1">
      <alignment horizontal="center" vertical="top"/>
    </xf>
    <xf numFmtId="166" fontId="9" fillId="0" borderId="50" xfId="0" applyNumberFormat="1" applyFont="1" applyFill="1" applyBorder="1" applyAlignment="1" applyProtection="1">
      <alignment horizontal="center" vertical="top"/>
    </xf>
    <xf numFmtId="2" fontId="9" fillId="0" borderId="32" xfId="62" applyNumberFormat="1" applyFont="1" applyFill="1" applyBorder="1" applyAlignment="1" applyProtection="1">
      <alignment horizontal="center" vertical="top"/>
    </xf>
    <xf numFmtId="1" fontId="9" fillId="0" borderId="32" xfId="62" applyNumberFormat="1" applyFont="1" applyFill="1" applyBorder="1" applyAlignment="1" applyProtection="1">
      <alignment horizontal="center" vertical="top"/>
    </xf>
    <xf numFmtId="0" fontId="79" fillId="0" borderId="32" xfId="0" applyFont="1" applyFill="1" applyBorder="1" applyAlignment="1" applyProtection="1">
      <alignment vertical="top" wrapText="1"/>
    </xf>
    <xf numFmtId="2" fontId="9" fillId="0" borderId="32" xfId="62" applyNumberFormat="1" applyFont="1" applyBorder="1" applyAlignment="1" applyProtection="1">
      <alignment horizontal="center" vertical="top"/>
    </xf>
    <xf numFmtId="1" fontId="9" fillId="0" borderId="32" xfId="62" applyNumberFormat="1" applyFont="1" applyBorder="1" applyAlignment="1" applyProtection="1">
      <alignment horizontal="center" vertical="top"/>
    </xf>
    <xf numFmtId="0" fontId="79" fillId="0" borderId="32" xfId="0" applyFont="1" applyBorder="1" applyAlignment="1" applyProtection="1">
      <alignment vertical="top" wrapText="1"/>
    </xf>
    <xf numFmtId="0" fontId="9" fillId="0" borderId="32" xfId="0" applyFont="1" applyBorder="1" applyAlignment="1" applyProtection="1">
      <alignment vertical="top" wrapText="1"/>
    </xf>
    <xf numFmtId="0" fontId="9" fillId="0" borderId="2" xfId="0" applyFont="1" applyBorder="1" applyAlignment="1" applyProtection="1">
      <alignment horizontal="center" vertical="top"/>
    </xf>
    <xf numFmtId="166" fontId="9" fillId="0" borderId="10" xfId="0" applyNumberFormat="1" applyFont="1" applyFill="1" applyBorder="1" applyAlignment="1" applyProtection="1">
      <alignment horizontal="center" vertical="top"/>
    </xf>
    <xf numFmtId="166" fontId="9" fillId="0" borderId="16" xfId="0" applyNumberFormat="1" applyFont="1" applyFill="1" applyBorder="1" applyAlignment="1" applyProtection="1">
      <alignment horizontal="center" vertical="top"/>
    </xf>
    <xf numFmtId="166" fontId="9" fillId="0" borderId="58" xfId="0" applyNumberFormat="1" applyFont="1" applyFill="1" applyBorder="1" applyAlignment="1" applyProtection="1">
      <alignment horizontal="center" vertical="top"/>
    </xf>
    <xf numFmtId="2" fontId="9" fillId="0" borderId="38" xfId="62" applyNumberFormat="1" applyFont="1" applyBorder="1" applyAlignment="1" applyProtection="1">
      <alignment horizontal="center"/>
    </xf>
    <xf numFmtId="1" fontId="9" fillId="0" borderId="38" xfId="62" applyNumberFormat="1" applyFont="1" applyBorder="1" applyAlignment="1" applyProtection="1">
      <alignment horizontal="center"/>
    </xf>
    <xf numFmtId="0" fontId="78" fillId="0" borderId="41" xfId="0" applyFont="1" applyBorder="1" applyAlignment="1" applyProtection="1">
      <alignment vertical="top" wrapText="1"/>
    </xf>
    <xf numFmtId="2" fontId="9" fillId="0" borderId="32" xfId="62" applyNumberFormat="1" applyFont="1" applyBorder="1" applyAlignment="1" applyProtection="1">
      <alignment horizontal="center"/>
    </xf>
    <xf numFmtId="1" fontId="9" fillId="0" borderId="32" xfId="62" applyNumberFormat="1" applyFont="1" applyBorder="1" applyAlignment="1" applyProtection="1">
      <alignment horizontal="center"/>
    </xf>
    <xf numFmtId="0" fontId="9" fillId="0" borderId="32" xfId="0" quotePrefix="1" applyFont="1" applyFill="1" applyBorder="1" applyAlignment="1" applyProtection="1">
      <alignment vertical="top" wrapText="1"/>
    </xf>
    <xf numFmtId="166" fontId="9" fillId="0" borderId="17" xfId="0" applyNumberFormat="1" applyFont="1" applyFill="1" applyBorder="1" applyAlignment="1" applyProtection="1">
      <alignment horizontal="center" vertical="top"/>
    </xf>
    <xf numFmtId="2" fontId="9" fillId="0" borderId="38" xfId="62" applyNumberFormat="1" applyFont="1" applyBorder="1" applyAlignment="1" applyProtection="1">
      <alignment horizontal="center" vertical="top"/>
    </xf>
    <xf numFmtId="1" fontId="9" fillId="0" borderId="38" xfId="62" applyNumberFormat="1" applyFont="1" applyBorder="1" applyAlignment="1" applyProtection="1">
      <alignment horizontal="center" vertical="top"/>
    </xf>
    <xf numFmtId="0" fontId="78" fillId="0" borderId="41" xfId="0" quotePrefix="1" applyFont="1" applyFill="1" applyBorder="1" applyAlignment="1" applyProtection="1">
      <alignment vertical="top" wrapText="1"/>
    </xf>
    <xf numFmtId="0" fontId="79" fillId="0" borderId="32" xfId="0" quotePrefix="1" applyFont="1" applyFill="1" applyBorder="1" applyAlignment="1" applyProtection="1">
      <alignment vertical="top" wrapText="1"/>
    </xf>
    <xf numFmtId="0" fontId="7" fillId="0" borderId="32" xfId="0" applyFont="1" applyBorder="1" applyAlignment="1" applyProtection="1">
      <alignment vertical="top" wrapText="1"/>
    </xf>
    <xf numFmtId="0" fontId="6" fillId="0" borderId="41" xfId="0" applyFont="1" applyBorder="1" applyAlignment="1" applyProtection="1">
      <alignment vertical="top" wrapText="1"/>
    </xf>
    <xf numFmtId="0" fontId="9" fillId="58" borderId="0" xfId="0" applyFont="1" applyFill="1" applyBorder="1" applyAlignment="1" applyProtection="1">
      <alignment horizontal="center" vertical="top"/>
    </xf>
    <xf numFmtId="166" fontId="9" fillId="58" borderId="5" xfId="0" applyNumberFormat="1" applyFont="1" applyFill="1" applyBorder="1" applyAlignment="1" applyProtection="1">
      <alignment horizontal="center" vertical="top"/>
    </xf>
    <xf numFmtId="166" fontId="9" fillId="58" borderId="25" xfId="0" applyNumberFormat="1" applyFont="1" applyFill="1" applyBorder="1" applyAlignment="1" applyProtection="1">
      <alignment horizontal="center" vertical="top"/>
    </xf>
    <xf numFmtId="166" fontId="9" fillId="58" borderId="50" xfId="0" applyNumberFormat="1" applyFont="1" applyFill="1" applyBorder="1" applyAlignment="1" applyProtection="1">
      <alignment horizontal="center" vertical="top"/>
    </xf>
    <xf numFmtId="0" fontId="91" fillId="0" borderId="34" xfId="0" applyFont="1" applyFill="1" applyBorder="1" applyAlignment="1" applyProtection="1">
      <alignment vertical="top" wrapText="1"/>
    </xf>
    <xf numFmtId="166" fontId="9" fillId="0" borderId="6" xfId="0" applyNumberFormat="1" applyFont="1" applyFill="1" applyBorder="1" applyAlignment="1" applyProtection="1">
      <alignment horizontal="center" vertical="top"/>
    </xf>
    <xf numFmtId="166" fontId="9" fillId="0" borderId="36" xfId="0" applyNumberFormat="1" applyFont="1" applyFill="1" applyBorder="1" applyAlignment="1" applyProtection="1">
      <alignment horizontal="center" vertical="top"/>
    </xf>
    <xf numFmtId="166" fontId="9" fillId="0" borderId="60" xfId="0" applyNumberFormat="1" applyFont="1" applyFill="1" applyBorder="1" applyAlignment="1" applyProtection="1">
      <alignment horizontal="center" vertical="top"/>
    </xf>
    <xf numFmtId="0" fontId="7" fillId="58" borderId="0" xfId="0" applyFont="1" applyFill="1" applyAlignment="1" applyProtection="1"/>
    <xf numFmtId="0" fontId="9" fillId="58" borderId="0" xfId="0" applyFont="1" applyFill="1" applyAlignment="1" applyProtection="1"/>
    <xf numFmtId="1" fontId="7" fillId="58" borderId="0" xfId="0" applyNumberFormat="1" applyFont="1" applyFill="1" applyAlignment="1" applyProtection="1"/>
    <xf numFmtId="1" fontId="9" fillId="0" borderId="220" xfId="0" applyNumberFormat="1" applyFont="1" applyBorder="1" applyAlignment="1" applyProtection="1">
      <alignment horizontal="center" vertical="center"/>
      <protection hidden="1"/>
    </xf>
    <xf numFmtId="1" fontId="9" fillId="0" borderId="265" xfId="0" applyNumberFormat="1" applyFont="1" applyBorder="1" applyAlignment="1" applyProtection="1">
      <alignment horizontal="center" vertical="center"/>
      <protection hidden="1"/>
    </xf>
    <xf numFmtId="1" fontId="9" fillId="0" borderId="215" xfId="0" applyNumberFormat="1" applyFont="1" applyBorder="1" applyAlignment="1" applyProtection="1">
      <alignment horizontal="center" vertical="center"/>
      <protection hidden="1"/>
    </xf>
    <xf numFmtId="1" fontId="9" fillId="0" borderId="270" xfId="0" applyNumberFormat="1" applyFont="1" applyBorder="1" applyAlignment="1" applyProtection="1">
      <alignment horizontal="center" vertical="center"/>
      <protection hidden="1"/>
    </xf>
    <xf numFmtId="1" fontId="9" fillId="0" borderId="271" xfId="0" applyNumberFormat="1" applyFont="1" applyBorder="1" applyAlignment="1" applyProtection="1">
      <alignment horizontal="center" vertical="center"/>
      <protection hidden="1"/>
    </xf>
    <xf numFmtId="1" fontId="9" fillId="0" borderId="272" xfId="0" applyNumberFormat="1" applyFont="1" applyBorder="1" applyAlignment="1" applyProtection="1">
      <alignment horizontal="center" vertical="center"/>
      <protection hidden="1"/>
    </xf>
    <xf numFmtId="0" fontId="4" fillId="49" borderId="0" xfId="0" applyFont="1" applyFill="1" applyBorder="1" applyAlignment="1" applyProtection="1">
      <alignment horizontal="left" vertical="center"/>
    </xf>
    <xf numFmtId="0" fontId="2" fillId="57" borderId="217" xfId="0" applyFont="1" applyFill="1" applyBorder="1" applyAlignment="1" applyProtection="1">
      <alignment horizontal="center"/>
    </xf>
    <xf numFmtId="0" fontId="2" fillId="57" borderId="273" xfId="0" applyFont="1" applyFill="1" applyBorder="1" applyAlignment="1" applyProtection="1">
      <alignment horizontal="center"/>
    </xf>
    <xf numFmtId="0" fontId="9" fillId="0" borderId="117" xfId="0" applyFont="1" applyFill="1" applyBorder="1" applyAlignment="1" applyProtection="1">
      <alignment horizontal="left" vertical="center"/>
      <protection hidden="1"/>
    </xf>
    <xf numFmtId="0" fontId="9" fillId="0" borderId="1" xfId="0" applyFont="1" applyFill="1" applyBorder="1" applyAlignment="1" applyProtection="1">
      <alignment horizontal="left" vertical="center"/>
      <protection hidden="1"/>
    </xf>
    <xf numFmtId="0" fontId="9" fillId="0" borderId="182" xfId="0" applyFont="1" applyFill="1" applyBorder="1" applyAlignment="1" applyProtection="1">
      <alignment horizontal="left" vertical="center"/>
      <protection hidden="1"/>
    </xf>
    <xf numFmtId="0" fontId="9" fillId="0" borderId="181" xfId="0" applyFont="1" applyFill="1" applyBorder="1" applyAlignment="1" applyProtection="1">
      <alignment horizontal="left" vertical="center"/>
      <protection hidden="1"/>
    </xf>
    <xf numFmtId="0" fontId="29" fillId="52" borderId="91" xfId="0" applyFont="1" applyFill="1" applyBorder="1" applyAlignment="1" applyProtection="1">
      <alignment horizontal="center"/>
      <protection locked="0"/>
    </xf>
    <xf numFmtId="0" fontId="29" fillId="52" borderId="148" xfId="0" applyFont="1" applyFill="1" applyBorder="1" applyAlignment="1" applyProtection="1">
      <alignment horizontal="center"/>
      <protection locked="0"/>
    </xf>
    <xf numFmtId="0" fontId="9" fillId="0" borderId="274" xfId="0" applyFont="1" applyBorder="1" applyAlignment="1" applyProtection="1">
      <alignment horizontal="left" vertical="center"/>
      <protection hidden="1"/>
    </xf>
    <xf numFmtId="0" fontId="9" fillId="0" borderId="222" xfId="0" applyFont="1" applyBorder="1" applyAlignment="1" applyProtection="1">
      <alignment horizontal="left" vertical="center"/>
      <protection hidden="1"/>
    </xf>
    <xf numFmtId="0" fontId="9" fillId="0" borderId="244" xfId="0" applyFont="1" applyBorder="1" applyAlignment="1" applyProtection="1">
      <alignment horizontal="left" vertical="center"/>
      <protection hidden="1"/>
    </xf>
    <xf numFmtId="1" fontId="9" fillId="0" borderId="219" xfId="0" applyNumberFormat="1" applyFont="1" applyFill="1" applyBorder="1" applyAlignment="1" applyProtection="1">
      <alignment horizontal="center" vertical="center"/>
      <protection hidden="1"/>
    </xf>
    <xf numFmtId="1" fontId="9" fillId="0" borderId="223" xfId="0" applyNumberFormat="1" applyFont="1" applyFill="1" applyBorder="1" applyAlignment="1" applyProtection="1">
      <alignment horizontal="center" vertical="center"/>
      <protection hidden="1"/>
    </xf>
    <xf numFmtId="0" fontId="2" fillId="0" borderId="183" xfId="0" applyFont="1" applyFill="1" applyBorder="1" applyAlignment="1" applyProtection="1">
      <alignment horizontal="center" vertical="center"/>
    </xf>
    <xf numFmtId="0" fontId="2" fillId="0" borderId="184" xfId="0" applyFont="1" applyFill="1" applyBorder="1" applyAlignment="1" applyProtection="1">
      <alignment horizontal="center" vertical="center"/>
    </xf>
    <xf numFmtId="0" fontId="9" fillId="0" borderId="183" xfId="0" applyFont="1" applyBorder="1" applyAlignment="1" applyProtection="1">
      <alignment horizontal="left" vertical="center"/>
    </xf>
    <xf numFmtId="0" fontId="9" fillId="0" borderId="185" xfId="0" applyFont="1" applyBorder="1" applyAlignment="1" applyProtection="1">
      <alignment horizontal="left" vertical="center"/>
    </xf>
    <xf numFmtId="0" fontId="9" fillId="0" borderId="186" xfId="0" applyFont="1" applyBorder="1" applyAlignment="1" applyProtection="1">
      <alignment horizontal="left" vertical="center"/>
    </xf>
    <xf numFmtId="1" fontId="0" fillId="0" borderId="219" xfId="0" applyNumberFormat="1" applyFill="1" applyBorder="1" applyAlignment="1" applyProtection="1">
      <alignment horizontal="center" vertical="center"/>
    </xf>
    <xf numFmtId="1" fontId="0" fillId="0" borderId="0" xfId="0" applyNumberFormat="1" applyFill="1" applyBorder="1" applyAlignment="1" applyProtection="1">
      <alignment horizontal="center" vertical="center"/>
    </xf>
    <xf numFmtId="1" fontId="0" fillId="0" borderId="223" xfId="0" applyNumberFormat="1" applyFill="1" applyBorder="1" applyAlignment="1" applyProtection="1">
      <alignment horizontal="center" vertical="center"/>
    </xf>
    <xf numFmtId="0" fontId="2" fillId="0" borderId="187" xfId="0" applyFont="1" applyFill="1" applyBorder="1" applyAlignment="1" applyProtection="1">
      <alignment horizontal="center" vertical="center"/>
    </xf>
    <xf numFmtId="0" fontId="2" fillId="0" borderId="188" xfId="0" applyFont="1" applyFill="1" applyBorder="1" applyAlignment="1" applyProtection="1">
      <alignment horizontal="center" vertical="center"/>
    </xf>
    <xf numFmtId="0" fontId="2" fillId="50" borderId="64" xfId="0" applyFont="1" applyFill="1" applyBorder="1" applyAlignment="1" applyProtection="1">
      <alignment horizontal="left" vertical="center"/>
    </xf>
    <xf numFmtId="0" fontId="2" fillId="50" borderId="63" xfId="0" applyFont="1" applyFill="1" applyBorder="1" applyAlignment="1" applyProtection="1">
      <alignment horizontal="left" vertical="center"/>
    </xf>
    <xf numFmtId="0" fontId="2" fillId="50" borderId="119" xfId="0" applyFont="1" applyFill="1" applyBorder="1" applyAlignment="1" applyProtection="1">
      <alignment horizontal="left" vertical="center"/>
    </xf>
    <xf numFmtId="0" fontId="2" fillId="52" borderId="65" xfId="0" applyFont="1" applyFill="1" applyBorder="1" applyAlignment="1" applyProtection="1">
      <alignment horizontal="center" vertical="center"/>
      <protection locked="0"/>
    </xf>
    <xf numFmtId="0" fontId="2" fillId="52" borderId="87" xfId="0" applyFont="1" applyFill="1" applyBorder="1" applyAlignment="1" applyProtection="1">
      <alignment horizontal="center" vertical="center"/>
      <protection locked="0"/>
    </xf>
    <xf numFmtId="1" fontId="4" fillId="48" borderId="232" xfId="0" applyNumberFormat="1" applyFont="1" applyFill="1" applyBorder="1" applyAlignment="1" applyProtection="1">
      <alignment horizontal="center" vertical="center"/>
    </xf>
    <xf numFmtId="1" fontId="4" fillId="48" borderId="222" xfId="0" applyNumberFormat="1" applyFont="1" applyFill="1" applyBorder="1" applyAlignment="1" applyProtection="1">
      <alignment horizontal="center" vertical="center"/>
    </xf>
    <xf numFmtId="1" fontId="4" fillId="48" borderId="244" xfId="0" applyNumberFormat="1" applyFont="1" applyFill="1" applyBorder="1" applyAlignment="1" applyProtection="1">
      <alignment horizontal="center" vertical="center"/>
    </xf>
    <xf numFmtId="0" fontId="9" fillId="0" borderId="189" xfId="42" applyFont="1" applyFill="1" applyBorder="1" applyAlignment="1" applyProtection="1">
      <alignment horizontal="left" vertical="center"/>
    </xf>
    <xf numFmtId="0" fontId="9" fillId="0" borderId="100" xfId="42" applyFont="1" applyFill="1" applyBorder="1" applyAlignment="1" applyProtection="1">
      <alignment horizontal="left" vertical="center"/>
    </xf>
    <xf numFmtId="1" fontId="9" fillId="57" borderId="219" xfId="0" applyNumberFormat="1" applyFont="1" applyFill="1" applyBorder="1" applyAlignment="1" applyProtection="1">
      <alignment horizontal="center" vertical="center"/>
    </xf>
    <xf numFmtId="1" fontId="9" fillId="57" borderId="223" xfId="0" applyNumberFormat="1" applyFont="1" applyFill="1" applyBorder="1" applyAlignment="1" applyProtection="1">
      <alignment horizontal="center" vertical="center"/>
    </xf>
    <xf numFmtId="1" fontId="9" fillId="0" borderId="0" xfId="0" applyNumberFormat="1" applyFont="1" applyFill="1" applyBorder="1" applyAlignment="1" applyProtection="1">
      <alignment horizontal="center" vertical="center"/>
      <protection hidden="1"/>
    </xf>
    <xf numFmtId="1" fontId="9" fillId="0" borderId="261" xfId="0" applyNumberFormat="1" applyFont="1" applyFill="1" applyBorder="1" applyAlignment="1" applyProtection="1">
      <alignment horizontal="center" vertical="center"/>
      <protection hidden="1"/>
    </xf>
    <xf numFmtId="0" fontId="9" fillId="52" borderId="152" xfId="0" applyFont="1" applyFill="1" applyBorder="1" applyAlignment="1" applyProtection="1">
      <alignment horizontal="center"/>
      <protection locked="0"/>
    </xf>
    <xf numFmtId="0" fontId="0" fillId="52" borderId="151" xfId="0" applyFill="1" applyBorder="1" applyAlignment="1" applyProtection="1">
      <alignment horizontal="center"/>
      <protection locked="0"/>
    </xf>
    <xf numFmtId="166" fontId="0" fillId="52" borderId="152" xfId="0" applyNumberFormat="1" applyFill="1" applyBorder="1" applyAlignment="1" applyProtection="1">
      <alignment horizontal="center"/>
      <protection locked="0"/>
    </xf>
    <xf numFmtId="166" fontId="0" fillId="52" borderId="151" xfId="0" applyNumberFormat="1" applyFill="1" applyBorder="1" applyAlignment="1" applyProtection="1">
      <alignment horizontal="center"/>
      <protection locked="0"/>
    </xf>
    <xf numFmtId="166" fontId="0" fillId="52" borderId="74" xfId="0" applyNumberFormat="1" applyFill="1" applyBorder="1" applyAlignment="1" applyProtection="1">
      <alignment horizontal="center"/>
      <protection locked="0"/>
    </xf>
    <xf numFmtId="166" fontId="0" fillId="52" borderId="148" xfId="0" applyNumberFormat="1" applyFill="1" applyBorder="1" applyAlignment="1" applyProtection="1">
      <alignment horizontal="center"/>
      <protection locked="0"/>
    </xf>
    <xf numFmtId="0" fontId="4" fillId="57" borderId="275" xfId="0" applyFont="1" applyFill="1" applyBorder="1" applyAlignment="1" applyProtection="1">
      <alignment horizontal="center" vertical="center"/>
    </xf>
    <xf numFmtId="0" fontId="4" fillId="57" borderId="276" xfId="0" applyFont="1" applyFill="1" applyBorder="1" applyAlignment="1" applyProtection="1">
      <alignment horizontal="center" vertical="center"/>
    </xf>
    <xf numFmtId="1" fontId="2" fillId="0" borderId="231" xfId="0" applyNumberFormat="1" applyFont="1" applyFill="1" applyBorder="1" applyAlignment="1" applyProtection="1">
      <alignment horizontal="center" vertical="center"/>
      <protection hidden="1"/>
    </xf>
    <xf numFmtId="1" fontId="2" fillId="0" borderId="277" xfId="0" applyNumberFormat="1" applyFont="1" applyFill="1" applyBorder="1" applyAlignment="1" applyProtection="1">
      <alignment horizontal="center" vertical="center"/>
      <protection hidden="1"/>
    </xf>
    <xf numFmtId="0" fontId="0" fillId="52" borderId="74" xfId="0" applyFill="1" applyBorder="1" applyAlignment="1" applyProtection="1">
      <alignment horizontal="center"/>
      <protection locked="0"/>
    </xf>
    <xf numFmtId="0" fontId="0" fillId="52" borderId="148" xfId="0" applyFill="1" applyBorder="1" applyAlignment="1" applyProtection="1">
      <alignment horizontal="center"/>
      <protection locked="0"/>
    </xf>
    <xf numFmtId="0" fontId="4" fillId="57" borderId="258" xfId="0" applyFont="1" applyFill="1" applyBorder="1" applyAlignment="1" applyProtection="1">
      <alignment horizontal="center" vertical="center"/>
    </xf>
    <xf numFmtId="0" fontId="0" fillId="0" borderId="0" xfId="0" applyAlignment="1" applyProtection="1">
      <alignment horizontal="center" vertical="center"/>
      <protection locked="0" hidden="1"/>
    </xf>
    <xf numFmtId="0" fontId="29" fillId="52" borderId="90" xfId="0" applyFont="1" applyFill="1" applyBorder="1" applyAlignment="1" applyProtection="1">
      <alignment horizontal="center"/>
      <protection locked="0"/>
    </xf>
    <xf numFmtId="0" fontId="94" fillId="0" borderId="217" xfId="0" applyFont="1" applyFill="1" applyBorder="1" applyAlignment="1" applyProtection="1">
      <alignment horizontal="left" vertical="center"/>
    </xf>
    <xf numFmtId="0" fontId="94" fillId="0" borderId="218" xfId="0" applyFont="1" applyFill="1" applyBorder="1" applyAlignment="1" applyProtection="1">
      <alignment horizontal="left" vertical="center"/>
    </xf>
    <xf numFmtId="1" fontId="2" fillId="45" borderId="6" xfId="0" applyNumberFormat="1" applyFont="1" applyFill="1" applyBorder="1" applyAlignment="1" applyProtection="1">
      <alignment horizontal="center" vertical="center"/>
      <protection hidden="1"/>
    </xf>
    <xf numFmtId="1" fontId="2" fillId="45" borderId="33" xfId="0" applyNumberFormat="1" applyFont="1" applyFill="1" applyBorder="1" applyAlignment="1" applyProtection="1">
      <alignment horizontal="center" vertical="center"/>
      <protection hidden="1"/>
    </xf>
    <xf numFmtId="1" fontId="2" fillId="45" borderId="140" xfId="0" applyNumberFormat="1" applyFont="1" applyFill="1" applyBorder="1" applyAlignment="1" applyProtection="1">
      <alignment horizontal="center" vertical="center"/>
      <protection hidden="1"/>
    </xf>
    <xf numFmtId="1" fontId="2" fillId="45" borderId="142" xfId="0" applyNumberFormat="1" applyFont="1" applyFill="1" applyBorder="1" applyAlignment="1" applyProtection="1">
      <alignment horizontal="center" vertical="center"/>
      <protection hidden="1"/>
    </xf>
    <xf numFmtId="1" fontId="13" fillId="48" borderId="278" xfId="0" applyNumberFormat="1" applyFont="1" applyFill="1" applyBorder="1" applyAlignment="1" applyProtection="1">
      <alignment horizontal="center" vertical="center"/>
    </xf>
    <xf numFmtId="1" fontId="13" fillId="48" borderId="279" xfId="0" applyNumberFormat="1" applyFont="1" applyFill="1" applyBorder="1" applyAlignment="1" applyProtection="1">
      <alignment horizontal="center" vertical="center"/>
    </xf>
    <xf numFmtId="1" fontId="13" fillId="48" borderId="280" xfId="0" applyNumberFormat="1" applyFont="1" applyFill="1" applyBorder="1" applyAlignment="1" applyProtection="1">
      <alignment horizontal="center" vertical="center"/>
    </xf>
    <xf numFmtId="0" fontId="2" fillId="50" borderId="50" xfId="0" applyFont="1" applyFill="1" applyBorder="1" applyAlignment="1" applyProtection="1">
      <alignment horizontal="center" vertical="center"/>
    </xf>
    <xf numFmtId="0" fontId="2" fillId="50" borderId="24" xfId="0" applyFont="1" applyFill="1" applyBorder="1" applyAlignment="1" applyProtection="1">
      <alignment horizontal="center" vertical="center"/>
    </xf>
    <xf numFmtId="0" fontId="2" fillId="57" borderId="217" xfId="0" applyFont="1" applyFill="1" applyBorder="1" applyAlignment="1" applyProtection="1">
      <alignment horizontal="center" vertical="center"/>
    </xf>
    <xf numFmtId="0" fontId="2" fillId="57" borderId="218" xfId="0" applyFont="1" applyFill="1" applyBorder="1" applyAlignment="1" applyProtection="1">
      <alignment horizontal="center" vertical="center"/>
    </xf>
    <xf numFmtId="0" fontId="2" fillId="57" borderId="243" xfId="0" applyFont="1" applyFill="1" applyBorder="1" applyAlignment="1" applyProtection="1">
      <alignment horizontal="center" vertical="center"/>
    </xf>
    <xf numFmtId="1" fontId="4" fillId="0" borderId="219" xfId="0" applyNumberFormat="1" applyFont="1" applyFill="1" applyBorder="1" applyAlignment="1" applyProtection="1">
      <alignment horizontal="center" vertical="center"/>
      <protection hidden="1"/>
    </xf>
    <xf numFmtId="1" fontId="4" fillId="0" borderId="223" xfId="0" applyNumberFormat="1" applyFont="1" applyFill="1" applyBorder="1" applyAlignment="1" applyProtection="1">
      <alignment horizontal="center" vertical="center"/>
      <protection hidden="1"/>
    </xf>
    <xf numFmtId="0" fontId="2" fillId="50" borderId="4" xfId="0" applyFont="1" applyFill="1" applyBorder="1" applyAlignment="1" applyProtection="1">
      <alignment horizontal="center" vertical="center"/>
    </xf>
    <xf numFmtId="0" fontId="9" fillId="0" borderId="64" xfId="0" applyFont="1" applyBorder="1" applyAlignment="1" applyProtection="1">
      <alignment horizontal="left" vertical="center"/>
    </xf>
    <xf numFmtId="0" fontId="9" fillId="0" borderId="63" xfId="0" applyFont="1" applyBorder="1" applyAlignment="1" applyProtection="1">
      <alignment horizontal="left" vertical="center"/>
    </xf>
    <xf numFmtId="0" fontId="94" fillId="0" borderId="219" xfId="0" applyFont="1" applyFill="1" applyBorder="1" applyAlignment="1" applyProtection="1">
      <alignment horizontal="left" vertical="center"/>
    </xf>
    <xf numFmtId="0" fontId="94" fillId="0" borderId="0" xfId="0" applyFont="1" applyFill="1" applyBorder="1" applyAlignment="1" applyProtection="1">
      <alignment horizontal="left" vertical="center"/>
    </xf>
    <xf numFmtId="0" fontId="2" fillId="52" borderId="91" xfId="0" applyFont="1" applyFill="1" applyBorder="1" applyAlignment="1" applyProtection="1">
      <alignment horizontal="center" vertical="center"/>
      <protection locked="0"/>
    </xf>
    <xf numFmtId="0" fontId="2" fillId="52" borderId="90" xfId="0" applyFont="1" applyFill="1" applyBorder="1" applyAlignment="1" applyProtection="1">
      <alignment horizontal="center" vertical="center"/>
      <protection locked="0"/>
    </xf>
    <xf numFmtId="0" fontId="2" fillId="52" borderId="93" xfId="0" applyFont="1" applyFill="1" applyBorder="1" applyAlignment="1" applyProtection="1">
      <alignment horizontal="center" vertical="center"/>
      <protection locked="0"/>
    </xf>
    <xf numFmtId="0" fontId="12" fillId="0" borderId="181" xfId="0" applyFont="1" applyFill="1" applyBorder="1" applyAlignment="1" applyProtection="1">
      <alignment horizontal="left" vertical="center"/>
    </xf>
    <xf numFmtId="0" fontId="12" fillId="0" borderId="190" xfId="0" applyFont="1" applyFill="1" applyBorder="1" applyAlignment="1" applyProtection="1">
      <alignment horizontal="left" vertical="center"/>
    </xf>
    <xf numFmtId="0" fontId="2" fillId="50" borderId="5" xfId="0" applyFont="1" applyFill="1" applyBorder="1" applyAlignment="1" applyProtection="1">
      <alignment horizontal="center" vertical="center"/>
    </xf>
    <xf numFmtId="0" fontId="2" fillId="50" borderId="31" xfId="0" applyFont="1" applyFill="1" applyBorder="1" applyAlignment="1" applyProtection="1">
      <alignment horizontal="center" vertical="center"/>
    </xf>
    <xf numFmtId="0" fontId="2" fillId="52" borderId="69" xfId="0" applyFont="1" applyFill="1" applyBorder="1" applyAlignment="1" applyProtection="1">
      <alignment horizontal="center" vertical="center"/>
      <protection locked="0"/>
    </xf>
    <xf numFmtId="0" fontId="2" fillId="52" borderId="66" xfId="0" applyFont="1" applyFill="1" applyBorder="1" applyAlignment="1" applyProtection="1">
      <alignment horizontal="center" vertical="center"/>
      <protection locked="0"/>
    </xf>
    <xf numFmtId="2" fontId="0" fillId="52" borderId="74" xfId="0" applyNumberFormat="1" applyFill="1" applyBorder="1" applyAlignment="1" applyProtection="1">
      <alignment horizontal="center"/>
      <protection locked="0"/>
    </xf>
    <xf numFmtId="2" fontId="0" fillId="52" borderId="148" xfId="0" applyNumberFormat="1" applyFill="1" applyBorder="1" applyAlignment="1" applyProtection="1">
      <alignment horizontal="center"/>
      <protection locked="0"/>
    </xf>
    <xf numFmtId="0" fontId="94" fillId="0" borderId="237" xfId="0" applyFont="1" applyFill="1" applyBorder="1" applyAlignment="1" applyProtection="1">
      <alignment horizontal="left" vertical="center"/>
    </xf>
    <xf numFmtId="0" fontId="94" fillId="0" borderId="238" xfId="0" applyFont="1" applyFill="1" applyBorder="1" applyAlignment="1" applyProtection="1">
      <alignment horizontal="left" vertical="center"/>
    </xf>
    <xf numFmtId="0" fontId="2" fillId="50" borderId="6" xfId="0" applyFont="1" applyFill="1" applyBorder="1" applyAlignment="1" applyProtection="1">
      <alignment horizontal="center" vertical="center" wrapText="1"/>
    </xf>
    <xf numFmtId="0" fontId="2" fillId="50" borderId="33" xfId="0" applyFont="1" applyFill="1" applyBorder="1" applyAlignment="1" applyProtection="1">
      <alignment horizontal="center" vertical="center" wrapText="1"/>
    </xf>
    <xf numFmtId="0" fontId="9" fillId="57" borderId="219" xfId="0" applyFont="1" applyFill="1" applyBorder="1" applyAlignment="1" applyProtection="1">
      <alignment horizontal="center" vertical="center"/>
    </xf>
    <xf numFmtId="0" fontId="9" fillId="57" borderId="223" xfId="0" applyFont="1" applyFill="1" applyBorder="1" applyAlignment="1" applyProtection="1">
      <alignment horizontal="center" vertical="center"/>
    </xf>
    <xf numFmtId="0" fontId="9" fillId="57" borderId="0" xfId="0" applyFont="1" applyFill="1" applyBorder="1" applyAlignment="1" applyProtection="1">
      <alignment horizontal="center" vertical="center"/>
    </xf>
    <xf numFmtId="1" fontId="9" fillId="57" borderId="0" xfId="0" applyNumberFormat="1" applyFont="1" applyFill="1" applyBorder="1" applyAlignment="1" applyProtection="1">
      <alignment horizontal="center" vertical="center"/>
    </xf>
    <xf numFmtId="1" fontId="2" fillId="0" borderId="183" xfId="0" applyNumberFormat="1" applyFont="1" applyBorder="1" applyAlignment="1" applyProtection="1">
      <alignment horizontal="center" vertical="center"/>
      <protection hidden="1"/>
    </xf>
    <xf numFmtId="1" fontId="2" fillId="0" borderId="184" xfId="0" applyNumberFormat="1" applyFont="1" applyBorder="1" applyAlignment="1" applyProtection="1">
      <alignment horizontal="center" vertical="center"/>
      <protection hidden="1"/>
    </xf>
    <xf numFmtId="2" fontId="12" fillId="0" borderId="0" xfId="0" applyNumberFormat="1" applyFont="1" applyAlignment="1" applyProtection="1">
      <alignment horizontal="center" vertical="center"/>
      <protection locked="0" hidden="1"/>
    </xf>
    <xf numFmtId="0" fontId="12" fillId="0" borderId="0" xfId="0" applyFont="1" applyAlignment="1" applyProtection="1">
      <alignment horizontal="center" vertical="center"/>
      <protection locked="0" hidden="1"/>
    </xf>
    <xf numFmtId="2" fontId="5" fillId="6" borderId="238" xfId="0" applyNumberFormat="1" applyFont="1" applyFill="1" applyBorder="1" applyAlignment="1" applyProtection="1">
      <alignment horizontal="center" vertical="center"/>
      <protection hidden="1"/>
    </xf>
    <xf numFmtId="1" fontId="2" fillId="0" borderId="90" xfId="0" applyNumberFormat="1" applyFont="1" applyFill="1" applyBorder="1" applyAlignment="1" applyProtection="1">
      <alignment horizontal="center" vertical="center"/>
      <protection hidden="1"/>
    </xf>
    <xf numFmtId="1" fontId="2" fillId="0" borderId="93" xfId="0" applyNumberFormat="1" applyFont="1" applyFill="1" applyBorder="1" applyAlignment="1" applyProtection="1">
      <alignment horizontal="center" vertical="center"/>
      <protection hidden="1"/>
    </xf>
    <xf numFmtId="0" fontId="0" fillId="50" borderId="4" xfId="0" applyFill="1" applyBorder="1" applyAlignment="1" applyProtection="1">
      <alignment horizontal="center"/>
    </xf>
    <xf numFmtId="1" fontId="2" fillId="0" borderId="149" xfId="0" applyNumberFormat="1" applyFont="1" applyFill="1" applyBorder="1" applyAlignment="1" applyProtection="1">
      <alignment horizontal="center" vertical="center"/>
      <protection hidden="1"/>
    </xf>
    <xf numFmtId="1" fontId="2" fillId="0" borderId="131" xfId="0" applyNumberFormat="1" applyFont="1" applyFill="1" applyBorder="1" applyAlignment="1" applyProtection="1">
      <alignment horizontal="center" vertical="center"/>
      <protection hidden="1"/>
    </xf>
    <xf numFmtId="1" fontId="2" fillId="0" borderId="153" xfId="0" applyNumberFormat="1" applyFont="1" applyFill="1" applyBorder="1" applyAlignment="1" applyProtection="1">
      <alignment horizontal="center" vertical="center"/>
      <protection hidden="1"/>
    </xf>
    <xf numFmtId="1" fontId="2" fillId="0" borderId="156" xfId="0" applyNumberFormat="1" applyFont="1" applyFill="1" applyBorder="1" applyAlignment="1" applyProtection="1">
      <alignment horizontal="center" vertical="center"/>
      <protection hidden="1"/>
    </xf>
    <xf numFmtId="0" fontId="13" fillId="0" borderId="219" xfId="0" applyFont="1" applyBorder="1" applyAlignment="1" applyProtection="1">
      <alignment horizontal="left" vertical="center"/>
    </xf>
    <xf numFmtId="0" fontId="13" fillId="0" borderId="0" xfId="0" applyFont="1" applyBorder="1" applyAlignment="1" applyProtection="1">
      <alignment horizontal="left" vertical="center"/>
    </xf>
    <xf numFmtId="0" fontId="12" fillId="0" borderId="281" xfId="0" applyFont="1" applyBorder="1" applyAlignment="1" applyProtection="1">
      <alignment horizontal="left" vertical="center"/>
    </xf>
    <xf numFmtId="0" fontId="12" fillId="0" borderId="230" xfId="0" applyFont="1" applyBorder="1" applyAlignment="1" applyProtection="1">
      <alignment horizontal="left" vertical="center"/>
    </xf>
    <xf numFmtId="1" fontId="12" fillId="0" borderId="228" xfId="0" applyNumberFormat="1" applyFont="1" applyFill="1" applyBorder="1" applyAlignment="1" applyProtection="1">
      <alignment horizontal="center" vertical="center"/>
    </xf>
    <xf numFmtId="1" fontId="12" fillId="0" borderId="230" xfId="0" applyNumberFormat="1" applyFont="1" applyFill="1" applyBorder="1" applyAlignment="1" applyProtection="1">
      <alignment horizontal="center" vertical="center"/>
    </xf>
    <xf numFmtId="1" fontId="12" fillId="0" borderId="282" xfId="0" applyNumberFormat="1" applyFont="1" applyFill="1" applyBorder="1" applyAlignment="1" applyProtection="1">
      <alignment horizontal="center" vertical="center"/>
    </xf>
    <xf numFmtId="0" fontId="2" fillId="0" borderId="21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1" fontId="2" fillId="0" borderId="85" xfId="0" applyNumberFormat="1" applyFont="1" applyFill="1" applyBorder="1" applyAlignment="1" applyProtection="1">
      <alignment horizontal="center" vertical="center"/>
      <protection hidden="1"/>
    </xf>
    <xf numFmtId="1" fontId="2" fillId="0" borderId="88" xfId="0" applyNumberFormat="1" applyFont="1" applyFill="1" applyBorder="1" applyAlignment="1" applyProtection="1">
      <alignment horizontal="center" vertical="center"/>
      <protection hidden="1"/>
    </xf>
    <xf numFmtId="1" fontId="29" fillId="0" borderId="215" xfId="0" applyNumberFormat="1" applyFont="1" applyFill="1" applyBorder="1" applyAlignment="1" applyProtection="1">
      <alignment horizontal="center" vertical="center"/>
    </xf>
    <xf numFmtId="1" fontId="29" fillId="0" borderId="270" xfId="0" applyNumberFormat="1" applyFont="1" applyFill="1" applyBorder="1" applyAlignment="1" applyProtection="1">
      <alignment horizontal="center" vertical="center"/>
    </xf>
    <xf numFmtId="0" fontId="4" fillId="57" borderId="233" xfId="0" applyFont="1" applyFill="1" applyBorder="1" applyAlignment="1" applyProtection="1">
      <alignment horizontal="left" vertical="center"/>
    </xf>
    <xf numFmtId="0" fontId="4" fillId="57" borderId="231" xfId="0" applyFont="1" applyFill="1" applyBorder="1" applyAlignment="1" applyProtection="1">
      <alignment horizontal="left" vertical="center"/>
    </xf>
    <xf numFmtId="0" fontId="4" fillId="57" borderId="283" xfId="0" applyFont="1" applyFill="1" applyBorder="1" applyAlignment="1" applyProtection="1">
      <alignment horizontal="left" vertical="center"/>
    </xf>
    <xf numFmtId="1" fontId="2" fillId="0" borderId="232" xfId="0" applyNumberFormat="1" applyFont="1" applyBorder="1" applyAlignment="1" applyProtection="1">
      <alignment horizontal="center" vertical="center"/>
      <protection hidden="1"/>
    </xf>
    <xf numFmtId="1" fontId="2" fillId="0" borderId="244" xfId="0" applyNumberFormat="1"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1" fontId="2" fillId="0" borderId="191" xfId="0" applyNumberFormat="1" applyFont="1" applyFill="1" applyBorder="1" applyAlignment="1" applyProtection="1">
      <alignment horizontal="center" vertical="center"/>
      <protection hidden="1"/>
    </xf>
    <xf numFmtId="1" fontId="2" fillId="0" borderId="192" xfId="0" applyNumberFormat="1" applyFont="1" applyFill="1" applyBorder="1" applyAlignment="1" applyProtection="1">
      <alignment horizontal="center" vertical="center"/>
      <protection hidden="1"/>
    </xf>
    <xf numFmtId="1" fontId="2" fillId="0" borderId="177" xfId="0" applyNumberFormat="1" applyFont="1" applyFill="1" applyBorder="1" applyAlignment="1" applyProtection="1">
      <alignment horizontal="center" vertical="center"/>
      <protection hidden="1"/>
    </xf>
    <xf numFmtId="1" fontId="2" fillId="0" borderId="160" xfId="0" applyNumberFormat="1" applyFont="1" applyFill="1" applyBorder="1" applyAlignment="1" applyProtection="1">
      <alignment horizontal="center" vertical="center"/>
      <protection hidden="1"/>
    </xf>
    <xf numFmtId="166" fontId="0" fillId="0" borderId="238" xfId="0" applyNumberFormat="1" applyFill="1" applyBorder="1" applyAlignment="1" applyProtection="1">
      <alignment horizontal="center" vertical="center"/>
      <protection hidden="1"/>
    </xf>
    <xf numFmtId="1" fontId="2" fillId="0" borderId="284" xfId="0" applyNumberFormat="1" applyFont="1" applyFill="1" applyBorder="1" applyAlignment="1" applyProtection="1">
      <alignment horizontal="center" vertical="center"/>
      <protection hidden="1"/>
    </xf>
    <xf numFmtId="0" fontId="2" fillId="0" borderId="236"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166" fontId="0" fillId="0" borderId="90" xfId="0" applyNumberFormat="1" applyFill="1" applyBorder="1" applyAlignment="1" applyProtection="1">
      <alignment horizontal="center"/>
    </xf>
    <xf numFmtId="1" fontId="2" fillId="0" borderId="0" xfId="0" applyNumberFormat="1" applyFont="1" applyFill="1" applyBorder="1" applyAlignment="1" applyProtection="1">
      <alignment horizontal="center" vertical="center"/>
      <protection locked="0" hidden="1"/>
    </xf>
    <xf numFmtId="0" fontId="9" fillId="0" borderId="0" xfId="0" applyFont="1" applyFill="1" applyAlignment="1">
      <alignment horizontal="center"/>
    </xf>
    <xf numFmtId="1" fontId="0" fillId="0" borderId="217" xfId="0" applyNumberFormat="1" applyFill="1" applyBorder="1" applyAlignment="1" applyProtection="1">
      <alignment horizontal="center" vertical="center"/>
    </xf>
    <xf numFmtId="1" fontId="0" fillId="0" borderId="218" xfId="0" applyNumberFormat="1" applyFill="1" applyBorder="1" applyAlignment="1" applyProtection="1">
      <alignment horizontal="center" vertical="center"/>
    </xf>
    <xf numFmtId="1" fontId="0" fillId="0" borderId="243" xfId="0" applyNumberFormat="1" applyFill="1" applyBorder="1" applyAlignment="1" applyProtection="1">
      <alignment horizontal="center" vertical="center"/>
    </xf>
    <xf numFmtId="1" fontId="0" fillId="0" borderId="237" xfId="0" applyNumberFormat="1" applyFill="1" applyBorder="1" applyAlignment="1" applyProtection="1">
      <alignment horizontal="center" vertical="center"/>
    </xf>
    <xf numFmtId="1" fontId="0" fillId="0" borderId="238" xfId="0" applyNumberFormat="1" applyFill="1" applyBorder="1" applyAlignment="1" applyProtection="1">
      <alignment horizontal="center" vertical="center"/>
    </xf>
    <xf numFmtId="1" fontId="0" fillId="0" borderId="239" xfId="0" applyNumberForma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0" fillId="52" borderId="133" xfId="0" applyFill="1" applyBorder="1" applyAlignment="1" applyProtection="1">
      <alignment horizontal="center"/>
      <protection locked="0"/>
    </xf>
    <xf numFmtId="0" fontId="0" fillId="52" borderId="97" xfId="0" applyFill="1" applyBorder="1" applyAlignment="1" applyProtection="1">
      <alignment horizontal="center"/>
      <protection locked="0"/>
    </xf>
    <xf numFmtId="0" fontId="0" fillId="52" borderId="19" xfId="0" applyFill="1" applyBorder="1" applyAlignment="1" applyProtection="1">
      <alignment horizontal="center"/>
      <protection locked="0"/>
    </xf>
    <xf numFmtId="166" fontId="9" fillId="45" borderId="193" xfId="0" applyNumberFormat="1" applyFont="1" applyFill="1" applyBorder="1" applyAlignment="1" applyProtection="1">
      <alignment horizontal="center" vertical="center"/>
    </xf>
    <xf numFmtId="166" fontId="9" fillId="45" borderId="177" xfId="0" applyNumberFormat="1" applyFont="1" applyFill="1" applyBorder="1" applyAlignment="1" applyProtection="1">
      <alignment horizontal="center" vertical="center"/>
    </xf>
    <xf numFmtId="166" fontId="9" fillId="45" borderId="27" xfId="0" applyNumberFormat="1" applyFont="1" applyFill="1" applyBorder="1" applyAlignment="1" applyProtection="1">
      <alignment horizontal="center" vertical="center"/>
    </xf>
    <xf numFmtId="0" fontId="0" fillId="52" borderId="50" xfId="0" applyFill="1" applyBorder="1" applyAlignment="1" applyProtection="1">
      <alignment horizontal="center"/>
      <protection locked="0"/>
    </xf>
    <xf numFmtId="0" fontId="0" fillId="52" borderId="0" xfId="0" applyFill="1" applyBorder="1" applyAlignment="1" applyProtection="1">
      <alignment horizontal="center"/>
      <protection locked="0"/>
    </xf>
    <xf numFmtId="0" fontId="0" fillId="52" borderId="24" xfId="0" applyFill="1" applyBorder="1" applyAlignment="1" applyProtection="1">
      <alignment horizontal="center"/>
      <protection locked="0"/>
    </xf>
    <xf numFmtId="0" fontId="9" fillId="0" borderId="24" xfId="0" applyFont="1" applyFill="1" applyBorder="1" applyAlignment="1">
      <alignment horizontal="center"/>
    </xf>
    <xf numFmtId="0" fontId="0" fillId="50" borderId="60" xfId="0" applyFill="1" applyBorder="1" applyAlignment="1" applyProtection="1">
      <alignment horizontal="center"/>
    </xf>
    <xf numFmtId="0" fontId="0" fillId="50" borderId="7" xfId="0" applyFill="1" applyBorder="1" applyAlignment="1" applyProtection="1">
      <alignment horizontal="center"/>
    </xf>
    <xf numFmtId="0" fontId="0" fillId="50" borderId="33" xfId="0" applyFill="1" applyBorder="1" applyAlignment="1" applyProtection="1">
      <alignment horizontal="center"/>
    </xf>
    <xf numFmtId="0" fontId="2" fillId="0" borderId="140" xfId="0" applyFont="1" applyFill="1" applyBorder="1" applyAlignment="1" applyProtection="1">
      <alignment horizontal="center" vertical="center"/>
    </xf>
    <xf numFmtId="0" fontId="2" fillId="0" borderId="142" xfId="0" applyFont="1" applyFill="1" applyBorder="1" applyAlignment="1" applyProtection="1">
      <alignment horizontal="center" vertical="center"/>
    </xf>
    <xf numFmtId="166" fontId="2" fillId="0" borderId="235" xfId="0" applyNumberFormat="1" applyFont="1" applyFill="1" applyBorder="1" applyAlignment="1" applyProtection="1">
      <alignment horizontal="center" vertical="center"/>
      <protection hidden="1"/>
    </xf>
    <xf numFmtId="0" fontId="9" fillId="57" borderId="232" xfId="0" applyFont="1" applyFill="1" applyBorder="1" applyAlignment="1" applyProtection="1">
      <alignment horizontal="center"/>
    </xf>
    <xf numFmtId="0" fontId="0" fillId="57" borderId="222" xfId="0" applyFill="1" applyBorder="1" applyAlignment="1" applyProtection="1">
      <alignment horizontal="center"/>
    </xf>
    <xf numFmtId="0" fontId="0" fillId="57" borderId="244" xfId="0" applyFill="1" applyBorder="1" applyAlignment="1" applyProtection="1">
      <alignment horizontal="center"/>
    </xf>
    <xf numFmtId="0" fontId="0" fillId="50" borderId="50" xfId="0" applyFill="1" applyBorder="1" applyAlignment="1" applyProtection="1">
      <alignment horizontal="center"/>
    </xf>
    <xf numFmtId="0" fontId="0" fillId="50" borderId="0" xfId="0" applyFill="1" applyBorder="1" applyAlignment="1" applyProtection="1">
      <alignment horizontal="center"/>
    </xf>
    <xf numFmtId="0" fontId="0" fillId="50" borderId="31" xfId="0" applyFill="1" applyBorder="1" applyAlignment="1" applyProtection="1">
      <alignment horizontal="center"/>
    </xf>
    <xf numFmtId="0" fontId="9" fillId="0" borderId="5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center" vertical="center"/>
      <protection locked="0" hidden="1"/>
    </xf>
    <xf numFmtId="0" fontId="9" fillId="0" borderId="24" xfId="0" applyFont="1" applyFill="1" applyBorder="1" applyAlignment="1" applyProtection="1">
      <alignment horizontal="center" vertical="center"/>
      <protection locked="0" hidden="1"/>
    </xf>
    <xf numFmtId="0" fontId="0" fillId="0" borderId="0" xfId="0" applyFill="1" applyBorder="1" applyAlignment="1" applyProtection="1">
      <alignment horizontal="center" vertical="center"/>
      <protection locked="0" hidden="1"/>
    </xf>
    <xf numFmtId="0" fontId="0" fillId="0" borderId="50" xfId="0" applyBorder="1" applyAlignment="1" applyProtection="1">
      <alignment horizontal="center" vertical="center"/>
      <protection locked="0" hidden="1"/>
    </xf>
    <xf numFmtId="0" fontId="0" fillId="0" borderId="24" xfId="0" applyBorder="1" applyAlignment="1" applyProtection="1">
      <alignment horizontal="center" vertical="center"/>
      <protection locked="0" hidden="1"/>
    </xf>
    <xf numFmtId="1" fontId="0" fillId="56" borderId="97" xfId="0" applyNumberFormat="1" applyFill="1" applyBorder="1" applyAlignment="1" applyProtection="1">
      <alignment horizontal="center" vertical="center"/>
      <protection hidden="1"/>
    </xf>
    <xf numFmtId="1" fontId="0" fillId="56" borderId="116" xfId="0" applyNumberFormat="1" applyFill="1" applyBorder="1" applyAlignment="1" applyProtection="1">
      <alignment horizontal="center" vertical="center"/>
      <protection hidden="1"/>
    </xf>
    <xf numFmtId="0" fontId="4" fillId="48" borderId="222" xfId="0" applyFont="1" applyFill="1" applyBorder="1" applyAlignment="1" applyProtection="1">
      <alignment horizontal="center" vertical="center"/>
      <protection hidden="1"/>
    </xf>
    <xf numFmtId="0" fontId="4" fillId="48" borderId="244" xfId="0" applyFont="1" applyFill="1" applyBorder="1" applyAlignment="1" applyProtection="1">
      <alignment horizontal="center" vertical="center"/>
      <protection hidden="1"/>
    </xf>
    <xf numFmtId="1" fontId="2" fillId="0" borderId="219" xfId="0" applyNumberFormat="1" applyFont="1" applyBorder="1" applyAlignment="1" applyProtection="1">
      <alignment horizontal="center" vertical="center"/>
      <protection hidden="1"/>
    </xf>
    <xf numFmtId="1" fontId="2" fillId="0" borderId="223" xfId="0" applyNumberFormat="1" applyFont="1" applyBorder="1" applyAlignment="1" applyProtection="1">
      <alignment horizontal="center" vertical="center"/>
      <protection hidden="1"/>
    </xf>
    <xf numFmtId="0" fontId="4" fillId="48" borderId="233" xfId="0" applyFont="1" applyFill="1" applyBorder="1" applyAlignment="1" applyProtection="1">
      <alignment horizontal="center" vertical="center"/>
      <protection hidden="1"/>
    </xf>
    <xf numFmtId="0" fontId="4" fillId="48" borderId="283" xfId="0" applyFont="1" applyFill="1" applyBorder="1" applyAlignment="1" applyProtection="1">
      <alignment horizontal="center" vertical="center"/>
      <protection hidden="1"/>
    </xf>
    <xf numFmtId="0" fontId="4" fillId="57" borderId="217" xfId="0" applyFont="1" applyFill="1" applyBorder="1" applyAlignment="1" applyProtection="1">
      <alignment horizontal="center" vertical="center"/>
    </xf>
    <xf numFmtId="0" fontId="4" fillId="57" borderId="243" xfId="0" applyFont="1" applyFill="1" applyBorder="1" applyAlignment="1" applyProtection="1">
      <alignment horizontal="center" vertical="center"/>
    </xf>
    <xf numFmtId="0" fontId="0" fillId="0" borderId="0" xfId="0" applyBorder="1" applyAlignment="1" applyProtection="1">
      <alignment horizontal="center" vertical="center"/>
      <protection locked="0" hidden="1"/>
    </xf>
    <xf numFmtId="1" fontId="12" fillId="0" borderId="225" xfId="0" applyNumberFormat="1" applyFont="1" applyFill="1" applyBorder="1" applyAlignment="1" applyProtection="1">
      <alignment horizontal="center" vertical="center"/>
    </xf>
    <xf numFmtId="1" fontId="29" fillId="55" borderId="0" xfId="0" applyNumberFormat="1" applyFont="1" applyFill="1" applyBorder="1" applyAlignment="1" applyProtection="1">
      <alignment horizontal="center" vertical="center"/>
    </xf>
    <xf numFmtId="1" fontId="29" fillId="55" borderId="223" xfId="0" applyNumberFormat="1" applyFont="1" applyFill="1" applyBorder="1" applyAlignment="1" applyProtection="1">
      <alignment horizontal="center" vertical="center"/>
    </xf>
    <xf numFmtId="1" fontId="29" fillId="0" borderId="227" xfId="0" applyNumberFormat="1" applyFont="1" applyFill="1" applyBorder="1" applyAlignment="1" applyProtection="1">
      <alignment horizontal="center" vertical="center"/>
    </xf>
    <xf numFmtId="1" fontId="12" fillId="0" borderId="0" xfId="0" applyNumberFormat="1" applyFont="1" applyFill="1" applyBorder="1" applyAlignment="1" applyProtection="1">
      <alignment horizontal="center" vertical="center"/>
    </xf>
    <xf numFmtId="1" fontId="12" fillId="0" borderId="223" xfId="0" applyNumberFormat="1" applyFont="1" applyFill="1" applyBorder="1" applyAlignment="1" applyProtection="1">
      <alignment horizontal="center" vertical="center"/>
    </xf>
    <xf numFmtId="1" fontId="29" fillId="0" borderId="212" xfId="0" applyNumberFormat="1" applyFont="1" applyFill="1" applyBorder="1" applyAlignment="1" applyProtection="1">
      <alignment horizontal="center" vertical="center"/>
    </xf>
    <xf numFmtId="1" fontId="29" fillId="0" borderId="285" xfId="0" applyNumberFormat="1" applyFont="1" applyFill="1" applyBorder="1" applyAlignment="1" applyProtection="1">
      <alignment horizontal="center" vertical="center"/>
    </xf>
    <xf numFmtId="1" fontId="29" fillId="55" borderId="225" xfId="0" applyNumberFormat="1" applyFont="1" applyFill="1" applyBorder="1" applyAlignment="1" applyProtection="1">
      <alignment horizontal="center" vertical="center"/>
    </xf>
    <xf numFmtId="0" fontId="0" fillId="0" borderId="51"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21" xfId="0" applyBorder="1" applyAlignment="1" applyProtection="1">
      <alignment horizontal="center" vertical="center"/>
      <protection locked="0" hidden="1"/>
    </xf>
    <xf numFmtId="0" fontId="2" fillId="50" borderId="113" xfId="0" applyFont="1" applyFill="1" applyBorder="1" applyAlignment="1" applyProtection="1">
      <alignment horizontal="center" vertical="center"/>
    </xf>
    <xf numFmtId="1" fontId="29" fillId="0" borderId="226" xfId="0" applyNumberFormat="1" applyFont="1" applyFill="1" applyBorder="1" applyAlignment="1" applyProtection="1">
      <alignment horizontal="center" vertical="center"/>
    </xf>
    <xf numFmtId="1" fontId="2" fillId="0" borderId="233" xfId="0" applyNumberFormat="1" applyFont="1" applyFill="1" applyBorder="1" applyAlignment="1" applyProtection="1">
      <alignment horizontal="center" vertical="center"/>
      <protection hidden="1"/>
    </xf>
    <xf numFmtId="1" fontId="2" fillId="0" borderId="283" xfId="0" applyNumberFormat="1" applyFont="1" applyFill="1" applyBorder="1" applyAlignment="1" applyProtection="1">
      <alignment horizontal="center" vertical="center"/>
      <protection hidden="1"/>
    </xf>
    <xf numFmtId="0" fontId="4" fillId="48" borderId="232" xfId="0" applyFont="1" applyFill="1" applyBorder="1" applyAlignment="1" applyProtection="1">
      <alignment horizontal="center" vertical="center"/>
      <protection hidden="1"/>
    </xf>
    <xf numFmtId="0" fontId="4" fillId="57" borderId="218" xfId="0" applyFont="1"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0" xfId="0" applyFill="1" applyBorder="1" applyAlignment="1" applyProtection="1">
      <alignment horizontal="left" vertical="center"/>
    </xf>
    <xf numFmtId="0" fontId="2" fillId="50" borderId="3" xfId="0" applyFont="1" applyFill="1" applyBorder="1" applyAlignment="1" applyProtection="1">
      <alignment horizontal="center" vertical="center"/>
    </xf>
    <xf numFmtId="0" fontId="2" fillId="50" borderId="29" xfId="0" applyFont="1" applyFill="1" applyBorder="1" applyAlignment="1" applyProtection="1">
      <alignment horizontal="center" vertical="center"/>
    </xf>
    <xf numFmtId="0" fontId="9" fillId="0" borderId="13" xfId="0" applyFont="1" applyFill="1" applyBorder="1" applyAlignment="1" applyProtection="1">
      <alignment horizontal="center" vertical="center"/>
      <protection locked="0" hidden="1"/>
    </xf>
    <xf numFmtId="0" fontId="9" fillId="0" borderId="21" xfId="0" applyFont="1" applyFill="1" applyBorder="1" applyAlignment="1" applyProtection="1">
      <alignment horizontal="center" vertical="center"/>
      <protection locked="0" hidden="1"/>
    </xf>
    <xf numFmtId="0" fontId="2" fillId="50" borderId="0" xfId="0" applyFont="1" applyFill="1" applyBorder="1" applyAlignment="1" applyProtection="1">
      <alignment horizontal="center" vertical="center"/>
    </xf>
    <xf numFmtId="0" fontId="9" fillId="50" borderId="0" xfId="0" applyFont="1" applyFill="1" applyBorder="1" applyAlignment="1" applyProtection="1">
      <alignment horizontal="center" vertical="center"/>
    </xf>
    <xf numFmtId="0" fontId="9" fillId="50" borderId="31" xfId="0" applyFont="1" applyFill="1" applyBorder="1" applyAlignment="1" applyProtection="1">
      <alignment horizontal="center" vertical="center"/>
    </xf>
    <xf numFmtId="1" fontId="0" fillId="0" borderId="240" xfId="0" applyNumberFormat="1" applyFill="1" applyBorder="1" applyAlignment="1" applyProtection="1">
      <alignment horizontal="center" vertical="center"/>
      <protection hidden="1"/>
    </xf>
    <xf numFmtId="1" fontId="0" fillId="0" borderId="241" xfId="0" applyNumberFormat="1" applyFill="1" applyBorder="1" applyAlignment="1" applyProtection="1">
      <alignment horizontal="center" vertical="center"/>
      <protection hidden="1"/>
    </xf>
    <xf numFmtId="1" fontId="2" fillId="0" borderId="234" xfId="0" applyNumberFormat="1" applyFont="1" applyFill="1" applyBorder="1" applyAlignment="1" applyProtection="1">
      <alignment horizontal="center" vertical="center"/>
      <protection hidden="1"/>
    </xf>
    <xf numFmtId="0" fontId="2" fillId="0" borderId="235" xfId="0" applyFont="1" applyFill="1" applyBorder="1" applyAlignment="1" applyProtection="1">
      <alignment horizontal="center" vertical="center"/>
      <protection hidden="1"/>
    </xf>
    <xf numFmtId="1" fontId="5" fillId="5" borderId="269" xfId="0" applyNumberFormat="1" applyFont="1" applyFill="1" applyBorder="1" applyAlignment="1" applyProtection="1">
      <alignment horizontal="center" vertical="center"/>
      <protection hidden="1"/>
    </xf>
    <xf numFmtId="1" fontId="5" fillId="5" borderId="239" xfId="0" applyNumberFormat="1" applyFont="1" applyFill="1" applyBorder="1" applyAlignment="1" applyProtection="1">
      <alignment horizontal="center" vertical="center"/>
      <protection hidden="1"/>
    </xf>
    <xf numFmtId="1" fontId="5" fillId="0" borderId="269" xfId="0" applyNumberFormat="1" applyFont="1" applyFill="1" applyBorder="1" applyAlignment="1" applyProtection="1">
      <alignment horizontal="center" vertical="center"/>
      <protection hidden="1"/>
    </xf>
    <xf numFmtId="1" fontId="5" fillId="0" borderId="239" xfId="0" applyNumberFormat="1" applyFont="1" applyFill="1" applyBorder="1" applyAlignment="1" applyProtection="1">
      <alignment horizontal="center" vertical="center"/>
      <protection hidden="1"/>
    </xf>
    <xf numFmtId="1" fontId="0" fillId="5" borderId="269" xfId="0" applyNumberFormat="1" applyFill="1" applyBorder="1" applyAlignment="1" applyProtection="1">
      <alignment horizontal="center" vertical="center"/>
      <protection hidden="1"/>
    </xf>
    <xf numFmtId="1" fontId="0" fillId="5" borderId="239" xfId="0" applyNumberFormat="1" applyFill="1" applyBorder="1" applyAlignment="1" applyProtection="1">
      <alignment horizontal="center" vertical="center"/>
      <protection hidden="1"/>
    </xf>
    <xf numFmtId="0" fontId="9" fillId="0" borderId="50" xfId="0" applyFont="1" applyBorder="1" applyAlignment="1" applyProtection="1">
      <alignment horizontal="left" vertical="center"/>
    </xf>
    <xf numFmtId="0" fontId="9" fillId="0" borderId="0" xfId="0" applyFont="1" applyBorder="1" applyAlignment="1" applyProtection="1">
      <alignment horizontal="left" vertical="center"/>
    </xf>
    <xf numFmtId="1" fontId="0" fillId="0" borderId="269" xfId="0" applyNumberFormat="1" applyFill="1" applyBorder="1" applyAlignment="1" applyProtection="1">
      <alignment horizontal="center" vertical="center"/>
      <protection hidden="1"/>
    </xf>
    <xf numFmtId="1" fontId="0" fillId="0" borderId="239" xfId="0" applyNumberFormat="1" applyFill="1" applyBorder="1" applyAlignment="1" applyProtection="1">
      <alignment horizontal="center" vertical="center"/>
      <protection hidden="1"/>
    </xf>
    <xf numFmtId="0" fontId="29" fillId="52" borderId="86" xfId="0" applyFont="1" applyFill="1" applyBorder="1" applyAlignment="1" applyProtection="1">
      <alignment horizontal="center"/>
      <protection locked="0"/>
    </xf>
    <xf numFmtId="0" fontId="29" fillId="52" borderId="146" xfId="0" applyFont="1" applyFill="1" applyBorder="1" applyAlignment="1" applyProtection="1">
      <alignment horizontal="center"/>
      <protection locked="0"/>
    </xf>
    <xf numFmtId="0" fontId="0" fillId="0" borderId="5"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223" xfId="0" applyFont="1" applyBorder="1" applyAlignment="1" applyProtection="1">
      <alignment horizontal="center" vertical="center"/>
      <protection hidden="1"/>
    </xf>
    <xf numFmtId="1" fontId="2" fillId="0" borderId="0" xfId="0" applyNumberFormat="1" applyFont="1" applyBorder="1" applyAlignment="1" applyProtection="1">
      <alignment horizontal="center" vertical="center"/>
      <protection hidden="1"/>
    </xf>
    <xf numFmtId="0" fontId="13" fillId="0" borderId="232" xfId="0" applyFont="1" applyBorder="1" applyAlignment="1" applyProtection="1">
      <alignment horizontal="left" vertical="center"/>
    </xf>
    <xf numFmtId="0" fontId="13" fillId="0" borderId="222" xfId="0" applyFont="1" applyBorder="1" applyAlignment="1" applyProtection="1">
      <alignment horizontal="left" vertical="center"/>
    </xf>
    <xf numFmtId="1" fontId="12" fillId="0" borderId="229" xfId="0" applyNumberFormat="1" applyFont="1" applyFill="1" applyBorder="1" applyAlignment="1" applyProtection="1">
      <alignment horizontal="center" vertical="center"/>
    </xf>
    <xf numFmtId="1" fontId="12" fillId="0" borderId="222" xfId="0" applyNumberFormat="1" applyFont="1" applyFill="1" applyBorder="1" applyAlignment="1" applyProtection="1">
      <alignment horizontal="center" vertical="center"/>
    </xf>
    <xf numFmtId="1" fontId="12" fillId="0" borderId="244" xfId="0" applyNumberFormat="1" applyFont="1" applyFill="1" applyBorder="1" applyAlignment="1" applyProtection="1">
      <alignment horizontal="center" vertical="center"/>
    </xf>
    <xf numFmtId="0" fontId="2" fillId="57" borderId="233" xfId="0" applyFont="1" applyFill="1" applyBorder="1" applyAlignment="1" applyProtection="1">
      <alignment horizontal="center" vertical="center" wrapText="1"/>
    </xf>
    <xf numFmtId="0" fontId="2" fillId="57" borderId="283" xfId="0" applyFont="1" applyFill="1" applyBorder="1" applyAlignment="1" applyProtection="1">
      <alignment horizontal="center" vertical="center" wrapText="1"/>
    </xf>
    <xf numFmtId="0" fontId="2" fillId="57" borderId="233" xfId="0" applyFont="1" applyFill="1" applyBorder="1" applyAlignment="1" applyProtection="1">
      <alignment horizontal="center" vertical="center"/>
    </xf>
    <xf numFmtId="0" fontId="2" fillId="57" borderId="283" xfId="0" applyFont="1" applyFill="1" applyBorder="1" applyAlignment="1" applyProtection="1">
      <alignment horizontal="center" vertical="center"/>
    </xf>
    <xf numFmtId="0" fontId="2" fillId="0" borderId="217" xfId="0" applyFont="1" applyBorder="1" applyAlignment="1" applyProtection="1">
      <alignment horizontal="center" vertical="center"/>
      <protection hidden="1"/>
    </xf>
    <xf numFmtId="0" fontId="2" fillId="0" borderId="243" xfId="0" applyFont="1" applyBorder="1" applyAlignment="1" applyProtection="1">
      <alignment horizontal="center" vertical="center"/>
      <protection hidden="1"/>
    </xf>
    <xf numFmtId="0" fontId="2" fillId="50" borderId="3" xfId="0" applyFont="1" applyFill="1" applyBorder="1" applyAlignment="1" applyProtection="1">
      <alignment horizontal="left" vertical="center"/>
    </xf>
    <xf numFmtId="0" fontId="2" fillId="50" borderId="4" xfId="0" applyFont="1" applyFill="1" applyBorder="1" applyAlignment="1" applyProtection="1">
      <alignment horizontal="left" vertical="center"/>
    </xf>
    <xf numFmtId="0" fontId="2" fillId="50" borderId="112" xfId="0" applyFont="1" applyFill="1" applyBorder="1" applyAlignment="1" applyProtection="1">
      <alignment horizontal="left" vertical="center"/>
    </xf>
    <xf numFmtId="0" fontId="2" fillId="50" borderId="5" xfId="0" applyFont="1" applyFill="1" applyBorder="1" applyAlignment="1" applyProtection="1">
      <alignment horizontal="left" vertical="center"/>
    </xf>
    <xf numFmtId="0" fontId="2" fillId="50" borderId="0" xfId="0" applyFont="1" applyFill="1" applyBorder="1" applyAlignment="1" applyProtection="1">
      <alignment horizontal="left" vertical="center"/>
    </xf>
    <xf numFmtId="0" fontId="2" fillId="50" borderId="24" xfId="0" applyFont="1" applyFill="1" applyBorder="1" applyAlignment="1" applyProtection="1">
      <alignment horizontal="left" vertical="center"/>
    </xf>
    <xf numFmtId="0" fontId="2" fillId="50" borderId="6" xfId="0" applyFont="1" applyFill="1" applyBorder="1" applyAlignment="1" applyProtection="1">
      <alignment horizontal="left" vertical="center"/>
    </xf>
    <xf numFmtId="0" fontId="2" fillId="50" borderId="7" xfId="0" applyFont="1" applyFill="1" applyBorder="1" applyAlignment="1" applyProtection="1">
      <alignment horizontal="left" vertical="center"/>
    </xf>
    <xf numFmtId="0" fontId="2" fillId="50" borderId="55" xfId="0" applyFont="1" applyFill="1" applyBorder="1" applyAlignment="1" applyProtection="1">
      <alignment horizontal="left" vertical="center"/>
    </xf>
    <xf numFmtId="0" fontId="53" fillId="0" borderId="0" xfId="0" applyFont="1" applyAlignment="1" applyProtection="1">
      <alignment horizontal="center" vertical="center"/>
    </xf>
    <xf numFmtId="0" fontId="3" fillId="0" borderId="0" xfId="0" applyFont="1" applyAlignment="1" applyProtection="1">
      <alignment horizontal="center" vertical="center"/>
    </xf>
    <xf numFmtId="49" fontId="9" fillId="2" borderId="97" xfId="0" applyNumberFormat="1" applyFont="1" applyFill="1" applyBorder="1" applyAlignment="1" applyProtection="1">
      <alignment horizontal="left" vertical="center"/>
      <protection locked="0"/>
    </xf>
    <xf numFmtId="49" fontId="0" fillId="2" borderId="97" xfId="0" applyNumberFormat="1" applyFill="1" applyBorder="1" applyAlignment="1" applyProtection="1">
      <alignment horizontal="left" vertical="center"/>
      <protection locked="0"/>
    </xf>
    <xf numFmtId="0" fontId="27" fillId="0" borderId="0" xfId="0" applyFont="1" applyAlignment="1" applyProtection="1">
      <alignment horizontal="center" vertical="center"/>
      <protection hidden="1"/>
    </xf>
    <xf numFmtId="49" fontId="9" fillId="2" borderId="2" xfId="0" applyNumberFormat="1" applyFont="1" applyFill="1" applyBorder="1" applyAlignment="1" applyProtection="1">
      <alignment horizontal="left" vertical="center"/>
      <protection locked="0"/>
    </xf>
    <xf numFmtId="49" fontId="0" fillId="2" borderId="2" xfId="0" applyNumberFormat="1" applyFill="1" applyBorder="1" applyAlignment="1" applyProtection="1">
      <alignment horizontal="left" vertical="center"/>
      <protection locked="0"/>
    </xf>
    <xf numFmtId="0" fontId="14" fillId="0" borderId="0" xfId="0" applyFont="1" applyAlignment="1" applyProtection="1">
      <alignment horizontal="center" vertical="center"/>
    </xf>
    <xf numFmtId="0" fontId="96" fillId="0" borderId="0" xfId="0" applyFont="1" applyAlignment="1" applyProtection="1">
      <alignment horizontal="center" vertical="center"/>
    </xf>
    <xf numFmtId="0" fontId="13" fillId="57" borderId="218" xfId="0" applyFont="1" applyFill="1" applyBorder="1" applyAlignment="1" applyProtection="1">
      <alignment horizontal="center" vertical="center"/>
    </xf>
    <xf numFmtId="0" fontId="13" fillId="57" borderId="243" xfId="0" applyFont="1" applyFill="1" applyBorder="1" applyAlignment="1" applyProtection="1">
      <alignment horizontal="center" vertical="center"/>
    </xf>
    <xf numFmtId="1" fontId="2" fillId="0" borderId="140" xfId="0" applyNumberFormat="1" applyFont="1" applyBorder="1" applyAlignment="1" applyProtection="1">
      <alignment horizontal="center" vertical="center"/>
      <protection hidden="1"/>
    </xf>
    <xf numFmtId="1" fontId="2" fillId="0" borderId="142" xfId="0" applyNumberFormat="1" applyFont="1" applyBorder="1" applyAlignment="1" applyProtection="1">
      <alignment horizontal="center" vertical="center"/>
      <protection hidden="1"/>
    </xf>
    <xf numFmtId="1" fontId="2" fillId="45" borderId="187" xfId="0" applyNumberFormat="1" applyFont="1" applyFill="1" applyBorder="1" applyAlignment="1" applyProtection="1">
      <alignment horizontal="center" vertical="center"/>
      <protection hidden="1"/>
    </xf>
    <xf numFmtId="1" fontId="2" fillId="45" borderId="188" xfId="0" applyNumberFormat="1" applyFont="1" applyFill="1" applyBorder="1" applyAlignment="1" applyProtection="1">
      <alignment horizontal="center" vertical="center"/>
      <protection hidden="1"/>
    </xf>
    <xf numFmtId="0" fontId="29" fillId="52" borderId="144" xfId="0" applyFont="1" applyFill="1" applyBorder="1" applyAlignment="1" applyProtection="1">
      <alignment horizontal="center"/>
      <protection locked="0"/>
    </xf>
    <xf numFmtId="0" fontId="29" fillId="52" borderId="151" xfId="0" applyFont="1" applyFill="1" applyBorder="1" applyAlignment="1" applyProtection="1">
      <alignment horizontal="center"/>
      <protection locked="0"/>
    </xf>
    <xf numFmtId="0" fontId="9" fillId="0" borderId="140" xfId="0" applyFont="1" applyBorder="1" applyAlignment="1" applyProtection="1">
      <alignment horizontal="left" vertical="center"/>
    </xf>
    <xf numFmtId="0" fontId="9" fillId="0" borderId="141" xfId="0" applyFont="1" applyBorder="1" applyAlignment="1" applyProtection="1">
      <alignment horizontal="left" vertical="center"/>
    </xf>
    <xf numFmtId="0" fontId="9" fillId="0" borderId="194" xfId="0" applyFont="1" applyBorder="1" applyAlignment="1" applyProtection="1">
      <alignment horizontal="left" vertical="center"/>
    </xf>
    <xf numFmtId="0" fontId="0" fillId="0" borderId="24" xfId="0" applyFill="1" applyBorder="1" applyAlignment="1" applyProtection="1">
      <alignment horizontal="left" vertical="center"/>
      <protection hidden="1"/>
    </xf>
    <xf numFmtId="0" fontId="2" fillId="57" borderId="217" xfId="0" applyFont="1" applyFill="1" applyBorder="1" applyAlignment="1" applyProtection="1">
      <alignment horizontal="center" vertical="center"/>
      <protection hidden="1"/>
    </xf>
    <xf numFmtId="0" fontId="2" fillId="57" borderId="218" xfId="0" applyFont="1" applyFill="1" applyBorder="1" applyAlignment="1" applyProtection="1">
      <alignment horizontal="center" vertical="center"/>
      <protection hidden="1"/>
    </xf>
    <xf numFmtId="0" fontId="9" fillId="50" borderId="112" xfId="0" applyFont="1" applyFill="1" applyBorder="1" applyAlignment="1" applyProtection="1">
      <alignment horizontal="center" textRotation="90"/>
    </xf>
    <xf numFmtId="0" fontId="9" fillId="50" borderId="24" xfId="0" applyFont="1" applyFill="1" applyBorder="1" applyAlignment="1" applyProtection="1">
      <alignment horizontal="center" textRotation="90"/>
    </xf>
    <xf numFmtId="0" fontId="9" fillId="50" borderId="55" xfId="0" applyFont="1" applyFill="1" applyBorder="1" applyAlignment="1" applyProtection="1">
      <alignment horizontal="center" textRotation="90"/>
    </xf>
    <xf numFmtId="1" fontId="5" fillId="5" borderId="237" xfId="0" applyNumberFormat="1" applyFont="1" applyFill="1" applyBorder="1" applyAlignment="1" applyProtection="1">
      <alignment horizontal="center" vertical="center"/>
      <protection hidden="1"/>
    </xf>
    <xf numFmtId="1" fontId="5" fillId="5" borderId="238" xfId="0" applyNumberFormat="1" applyFont="1" applyFill="1" applyBorder="1" applyAlignment="1" applyProtection="1">
      <alignment horizontal="center" vertical="center"/>
      <protection hidden="1"/>
    </xf>
    <xf numFmtId="1" fontId="5" fillId="0" borderId="237" xfId="0" applyNumberFormat="1" applyFont="1" applyFill="1" applyBorder="1" applyAlignment="1" applyProtection="1">
      <alignment horizontal="center" vertical="center"/>
      <protection hidden="1"/>
    </xf>
    <xf numFmtId="1" fontId="5" fillId="0" borderId="238" xfId="0" applyNumberFormat="1" applyFont="1" applyFill="1" applyBorder="1" applyAlignment="1" applyProtection="1">
      <alignment horizontal="center" vertical="center"/>
      <protection hidden="1"/>
    </xf>
    <xf numFmtId="166" fontId="0" fillId="0" borderId="149" xfId="0" applyNumberFormat="1" applyFill="1" applyBorder="1" applyAlignment="1" applyProtection="1">
      <alignment horizontal="center"/>
    </xf>
    <xf numFmtId="0" fontId="0" fillId="0" borderId="24" xfId="0" applyFill="1" applyBorder="1" applyAlignment="1" applyProtection="1">
      <alignment horizontal="left" vertical="center"/>
    </xf>
    <xf numFmtId="1" fontId="0" fillId="0" borderId="237" xfId="0" applyNumberFormat="1" applyFill="1" applyBorder="1" applyAlignment="1" applyProtection="1">
      <alignment horizontal="center" vertical="center"/>
      <protection hidden="1"/>
    </xf>
    <xf numFmtId="1" fontId="0" fillId="0" borderId="238" xfId="0" applyNumberFormat="1" applyFill="1" applyBorder="1" applyAlignment="1" applyProtection="1">
      <alignment horizontal="center" vertical="center"/>
      <protection hidden="1"/>
    </xf>
    <xf numFmtId="0" fontId="12" fillId="0" borderId="0" xfId="0" applyFont="1" applyBorder="1" applyAlignment="1" applyProtection="1">
      <alignment horizontal="center" vertical="center"/>
    </xf>
    <xf numFmtId="0" fontId="9" fillId="0" borderId="140" xfId="0" applyFont="1" applyFill="1" applyBorder="1" applyAlignment="1" applyProtection="1">
      <alignment horizontal="center" vertical="center"/>
    </xf>
    <xf numFmtId="0" fontId="9" fillId="0" borderId="142" xfId="0" applyFont="1" applyFill="1" applyBorder="1" applyAlignment="1" applyProtection="1">
      <alignment horizontal="center" vertical="center"/>
    </xf>
    <xf numFmtId="1" fontId="2" fillId="0" borderId="178" xfId="0" applyNumberFormat="1" applyFont="1" applyBorder="1" applyAlignment="1" applyProtection="1">
      <alignment horizontal="center" vertical="center"/>
      <protection hidden="1"/>
    </xf>
    <xf numFmtId="1" fontId="2" fillId="0" borderId="180" xfId="0" applyNumberFormat="1" applyFont="1" applyBorder="1" applyAlignment="1" applyProtection="1">
      <alignment horizontal="center" vertical="center"/>
      <protection hidden="1"/>
    </xf>
    <xf numFmtId="2" fontId="0" fillId="52" borderId="152" xfId="0" applyNumberFormat="1" applyFill="1" applyBorder="1" applyAlignment="1" applyProtection="1">
      <alignment horizontal="center"/>
      <protection locked="0"/>
    </xf>
    <xf numFmtId="2" fontId="0" fillId="52" borderId="151" xfId="0" applyNumberFormat="1" applyFill="1" applyBorder="1" applyAlignment="1" applyProtection="1">
      <alignment horizontal="center"/>
      <protection locked="0"/>
    </xf>
    <xf numFmtId="0" fontId="9" fillId="0" borderId="178" xfId="0" applyFont="1" applyBorder="1" applyAlignment="1" applyProtection="1">
      <alignment horizontal="left" vertical="center"/>
    </xf>
    <xf numFmtId="0" fontId="9" fillId="0" borderId="179" xfId="0" applyFont="1" applyBorder="1" applyAlignment="1" applyProtection="1">
      <alignment horizontal="left" vertical="center"/>
    </xf>
    <xf numFmtId="0" fontId="9" fillId="0" borderId="195" xfId="0" applyFont="1" applyBorder="1" applyAlignment="1" applyProtection="1">
      <alignment horizontal="left" vertical="center"/>
    </xf>
    <xf numFmtId="0" fontId="2" fillId="50" borderId="64" xfId="0" applyFont="1" applyFill="1" applyBorder="1" applyAlignment="1" applyProtection="1">
      <alignment horizontal="center" vertical="center"/>
    </xf>
    <xf numFmtId="0" fontId="2" fillId="50" borderId="119" xfId="0" applyFont="1" applyFill="1" applyBorder="1" applyAlignment="1" applyProtection="1">
      <alignment horizontal="center" vertical="center"/>
    </xf>
    <xf numFmtId="1" fontId="2" fillId="52" borderId="86" xfId="0" applyNumberFormat="1" applyFont="1" applyFill="1" applyBorder="1" applyAlignment="1" applyProtection="1">
      <alignment horizontal="center" vertical="center"/>
      <protection locked="0"/>
    </xf>
    <xf numFmtId="1" fontId="2" fillId="52" borderId="88" xfId="0" applyNumberFormat="1" applyFont="1" applyFill="1" applyBorder="1" applyAlignment="1" applyProtection="1">
      <alignment horizontal="center" vertical="center"/>
      <protection locked="0"/>
    </xf>
    <xf numFmtId="1" fontId="2" fillId="0" borderId="235" xfId="0" applyNumberFormat="1" applyFont="1" applyFill="1" applyBorder="1" applyAlignment="1" applyProtection="1">
      <alignment horizontal="center" vertical="center"/>
      <protection hidden="1"/>
    </xf>
    <xf numFmtId="1" fontId="2" fillId="0" borderId="236" xfId="0" applyNumberFormat="1" applyFont="1" applyFill="1" applyBorder="1" applyAlignment="1" applyProtection="1">
      <alignment horizontal="center" vertical="center"/>
      <protection hidden="1"/>
    </xf>
    <xf numFmtId="2" fontId="0" fillId="52" borderId="73" xfId="0" applyNumberFormat="1" applyFill="1" applyBorder="1" applyAlignment="1" applyProtection="1">
      <alignment horizontal="center"/>
      <protection locked="0"/>
    </xf>
    <xf numFmtId="2" fontId="0" fillId="52" borderId="146" xfId="0" applyNumberFormat="1" applyFill="1" applyBorder="1" applyAlignment="1" applyProtection="1">
      <alignment horizontal="center"/>
      <protection locked="0"/>
    </xf>
    <xf numFmtId="1" fontId="0" fillId="52" borderId="58" xfId="0" applyNumberFormat="1" applyFill="1" applyBorder="1" applyAlignment="1" applyProtection="1">
      <alignment horizontal="center"/>
      <protection locked="0"/>
    </xf>
    <xf numFmtId="1" fontId="0" fillId="52" borderId="2" xfId="0" applyNumberFormat="1" applyFill="1" applyBorder="1" applyAlignment="1" applyProtection="1">
      <alignment horizontal="center"/>
      <protection locked="0"/>
    </xf>
    <xf numFmtId="1" fontId="0" fillId="52" borderId="16" xfId="0" applyNumberFormat="1" applyFill="1" applyBorder="1" applyAlignment="1" applyProtection="1">
      <alignment horizontal="center"/>
      <protection locked="0"/>
    </xf>
    <xf numFmtId="0" fontId="2" fillId="52" borderId="92" xfId="0" applyFont="1" applyFill="1" applyBorder="1" applyAlignment="1" applyProtection="1">
      <alignment horizontal="center" vertical="center"/>
      <protection locked="0"/>
    </xf>
    <xf numFmtId="1" fontId="9" fillId="0" borderId="52" xfId="42" applyNumberFormat="1" applyFont="1" applyFill="1" applyBorder="1" applyAlignment="1" applyProtection="1">
      <alignment horizontal="center" vertical="center"/>
      <protection hidden="1"/>
    </xf>
    <xf numFmtId="1" fontId="9" fillId="0" borderId="54" xfId="42" applyNumberFormat="1" applyFont="1" applyFill="1" applyBorder="1" applyAlignment="1" applyProtection="1">
      <alignment horizontal="center" vertical="center"/>
      <protection hidden="1"/>
    </xf>
    <xf numFmtId="0" fontId="17" fillId="50" borderId="56" xfId="0" applyFont="1" applyFill="1" applyBorder="1" applyAlignment="1" applyProtection="1">
      <alignment horizontal="left" vertical="center"/>
      <protection hidden="1"/>
    </xf>
    <xf numFmtId="0" fontId="17" fillId="50" borderId="97" xfId="0" applyFont="1" applyFill="1" applyBorder="1" applyAlignment="1" applyProtection="1">
      <alignment horizontal="left" vertical="center"/>
      <protection hidden="1"/>
    </xf>
    <xf numFmtId="0" fontId="17" fillId="50" borderId="116" xfId="0" applyFont="1" applyFill="1" applyBorder="1" applyAlignment="1" applyProtection="1">
      <alignment horizontal="left" vertical="center"/>
      <protection hidden="1"/>
    </xf>
    <xf numFmtId="0" fontId="0" fillId="0" borderId="6" xfId="0" applyFill="1" applyBorder="1" applyAlignment="1" applyProtection="1">
      <alignment horizontal="left" vertical="center"/>
      <protection hidden="1"/>
    </xf>
    <xf numFmtId="0" fontId="0" fillId="0" borderId="7" xfId="0" applyFill="1" applyBorder="1" applyAlignment="1" applyProtection="1">
      <alignment horizontal="left" vertical="center"/>
      <protection hidden="1"/>
    </xf>
    <xf numFmtId="0" fontId="0" fillId="0" borderId="55" xfId="0" applyFill="1" applyBorder="1" applyAlignment="1" applyProtection="1">
      <alignment horizontal="left" vertical="center"/>
      <protection hidden="1"/>
    </xf>
    <xf numFmtId="0" fontId="12" fillId="0" borderId="48" xfId="0" applyFont="1" applyFill="1" applyBorder="1" applyAlignment="1" applyProtection="1">
      <alignment horizontal="left" vertical="center"/>
    </xf>
    <xf numFmtId="0" fontId="12" fillId="0" borderId="52" xfId="0" applyFont="1" applyFill="1" applyBorder="1" applyAlignment="1" applyProtection="1">
      <alignment horizontal="left" vertical="center"/>
    </xf>
    <xf numFmtId="0" fontId="2" fillId="50" borderId="112" xfId="0" applyFont="1" applyFill="1" applyBorder="1" applyAlignment="1" applyProtection="1">
      <alignment horizontal="center" vertical="center"/>
    </xf>
    <xf numFmtId="0" fontId="2" fillId="0" borderId="178" xfId="0" applyFont="1" applyFill="1" applyBorder="1" applyAlignment="1" applyProtection="1">
      <alignment horizontal="center" vertical="center"/>
    </xf>
    <xf numFmtId="0" fontId="2" fillId="0" borderId="180" xfId="0" applyFont="1" applyFill="1" applyBorder="1" applyAlignment="1" applyProtection="1">
      <alignment horizontal="center" vertical="center"/>
    </xf>
    <xf numFmtId="0" fontId="0" fillId="50" borderId="113" xfId="0" applyFill="1" applyBorder="1" applyAlignment="1" applyProtection="1">
      <alignment horizontal="center"/>
    </xf>
    <xf numFmtId="0" fontId="0" fillId="50" borderId="112" xfId="0" applyFill="1" applyBorder="1" applyAlignment="1" applyProtection="1">
      <alignment horizontal="center"/>
    </xf>
    <xf numFmtId="0" fontId="2" fillId="52" borderId="60" xfId="0" applyFont="1" applyFill="1" applyBorder="1" applyAlignment="1" applyProtection="1">
      <alignment horizontal="center" vertical="center"/>
      <protection locked="0"/>
    </xf>
    <xf numFmtId="0" fontId="2" fillId="52" borderId="3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hidden="1"/>
    </xf>
    <xf numFmtId="0" fontId="2" fillId="52" borderId="67" xfId="0" applyFont="1" applyFill="1" applyBorder="1" applyAlignment="1" applyProtection="1">
      <alignment horizontal="center" vertical="center"/>
      <protection locked="0"/>
    </xf>
    <xf numFmtId="0" fontId="2" fillId="52" borderId="132" xfId="0" applyFont="1" applyFill="1" applyBorder="1" applyAlignment="1" applyProtection="1">
      <alignment horizontal="center" vertical="center"/>
      <protection locked="0"/>
    </xf>
    <xf numFmtId="0" fontId="2" fillId="52" borderId="68" xfId="0" applyFont="1" applyFill="1" applyBorder="1" applyAlignment="1" applyProtection="1">
      <alignment horizontal="center" vertical="center"/>
      <protection locked="0"/>
    </xf>
    <xf numFmtId="0" fontId="2" fillId="56" borderId="3" xfId="0" applyFont="1" applyFill="1" applyBorder="1" applyAlignment="1" applyProtection="1">
      <alignment horizontal="center" vertical="center"/>
    </xf>
    <xf numFmtId="0" fontId="2" fillId="56" borderId="29" xfId="0" applyFont="1" applyFill="1" applyBorder="1" applyAlignment="1" applyProtection="1">
      <alignment horizontal="center" vertical="center"/>
    </xf>
    <xf numFmtId="1" fontId="2" fillId="0" borderId="91" xfId="0" applyNumberFormat="1" applyFont="1" applyFill="1" applyBorder="1" applyAlignment="1" applyProtection="1">
      <alignment horizontal="center" vertical="center"/>
      <protection hidden="1"/>
    </xf>
    <xf numFmtId="0" fontId="9" fillId="57" borderId="232" xfId="0" applyFont="1" applyFill="1" applyBorder="1" applyAlignment="1" applyProtection="1">
      <alignment horizontal="center" vertical="center"/>
    </xf>
    <xf numFmtId="0" fontId="9" fillId="57" borderId="222" xfId="0" applyFont="1" applyFill="1" applyBorder="1" applyAlignment="1" applyProtection="1">
      <alignment horizontal="center" vertical="center"/>
    </xf>
    <xf numFmtId="0" fontId="9" fillId="57" borderId="244" xfId="0" applyFont="1" applyFill="1" applyBorder="1" applyAlignment="1" applyProtection="1">
      <alignment horizontal="center" vertical="center"/>
    </xf>
    <xf numFmtId="0" fontId="13" fillId="57" borderId="286" xfId="0" applyFont="1" applyFill="1" applyBorder="1" applyAlignment="1" applyProtection="1">
      <alignment horizontal="center" vertical="center"/>
    </xf>
    <xf numFmtId="0" fontId="13" fillId="57" borderId="273" xfId="0" applyFont="1" applyFill="1" applyBorder="1" applyAlignment="1" applyProtection="1">
      <alignment horizontal="center" vertical="center"/>
    </xf>
    <xf numFmtId="1" fontId="29" fillId="0" borderId="224" xfId="0" applyNumberFormat="1" applyFont="1" applyFill="1" applyBorder="1" applyAlignment="1" applyProtection="1">
      <alignment horizontal="center" vertical="center"/>
    </xf>
    <xf numFmtId="1" fontId="29" fillId="0" borderId="218" xfId="0" applyNumberFormat="1" applyFont="1" applyFill="1" applyBorder="1" applyAlignment="1" applyProtection="1">
      <alignment horizontal="center" vertical="center"/>
    </xf>
    <xf numFmtId="1" fontId="29" fillId="0" borderId="243" xfId="0" applyNumberFormat="1" applyFont="1" applyFill="1" applyBorder="1" applyAlignment="1" applyProtection="1">
      <alignment horizontal="center" vertical="center"/>
    </xf>
    <xf numFmtId="0" fontId="2" fillId="57" borderId="228" xfId="42" applyFont="1" applyFill="1" applyBorder="1" applyAlignment="1" applyProtection="1">
      <alignment horizontal="center" vertical="center"/>
    </xf>
    <xf numFmtId="1" fontId="9" fillId="0" borderId="253" xfId="42" applyNumberFormat="1" applyFont="1" applyFill="1" applyBorder="1" applyAlignment="1" applyProtection="1">
      <alignment horizontal="center" vertical="center"/>
      <protection hidden="1"/>
    </xf>
    <xf numFmtId="0" fontId="9" fillId="54" borderId="0" xfId="0" applyFont="1" applyFill="1" applyAlignment="1" applyProtection="1">
      <alignment horizontal="center" vertical="center" textRotation="90" wrapText="1"/>
    </xf>
    <xf numFmtId="0" fontId="13" fillId="57" borderId="217" xfId="0" applyFont="1" applyFill="1" applyBorder="1" applyAlignment="1" applyProtection="1">
      <alignment horizontal="center" vertical="center"/>
    </xf>
    <xf numFmtId="1" fontId="12" fillId="55" borderId="225" xfId="0" applyNumberFormat="1" applyFont="1" applyFill="1" applyBorder="1" applyAlignment="1" applyProtection="1">
      <alignment horizontal="center" vertical="center"/>
    </xf>
    <xf numFmtId="1" fontId="12" fillId="6" borderId="0" xfId="0" applyNumberFormat="1" applyFont="1" applyFill="1" applyBorder="1" applyAlignment="1" applyProtection="1">
      <alignment horizontal="center" vertical="center"/>
    </xf>
    <xf numFmtId="1" fontId="12" fillId="6" borderId="223" xfId="0" applyNumberFormat="1" applyFont="1" applyFill="1" applyBorder="1" applyAlignment="1" applyProtection="1">
      <alignment horizontal="center" vertical="center"/>
    </xf>
    <xf numFmtId="166" fontId="0" fillId="0" borderId="85" xfId="0" applyNumberFormat="1" applyFill="1" applyBorder="1" applyAlignment="1" applyProtection="1">
      <alignment horizontal="center"/>
    </xf>
    <xf numFmtId="0" fontId="29" fillId="57" borderId="0" xfId="0" applyFont="1" applyFill="1" applyBorder="1" applyAlignment="1" applyProtection="1">
      <alignment horizontal="center" vertical="center"/>
      <protection hidden="1"/>
    </xf>
    <xf numFmtId="0" fontId="29" fillId="57" borderId="223" xfId="0" applyFont="1" applyFill="1" applyBorder="1" applyAlignment="1" applyProtection="1">
      <alignment horizontal="center" vertical="center"/>
      <protection hidden="1"/>
    </xf>
    <xf numFmtId="0" fontId="4" fillId="48" borderId="233" xfId="0" applyFont="1" applyFill="1" applyBorder="1" applyAlignment="1" applyProtection="1">
      <alignment horizontal="left" vertical="center"/>
    </xf>
    <xf numFmtId="0" fontId="4" fillId="48" borderId="231" xfId="0" applyFont="1" applyFill="1" applyBorder="1" applyAlignment="1" applyProtection="1">
      <alignment horizontal="left" vertical="center"/>
    </xf>
    <xf numFmtId="0" fontId="4" fillId="48" borderId="283" xfId="0" applyFont="1" applyFill="1" applyBorder="1" applyAlignment="1" applyProtection="1">
      <alignment horizontal="left" vertical="center"/>
    </xf>
    <xf numFmtId="1" fontId="4" fillId="48" borderId="231" xfId="0" applyNumberFormat="1" applyFont="1" applyFill="1" applyBorder="1" applyAlignment="1" applyProtection="1">
      <alignment horizontal="center" vertical="center"/>
      <protection hidden="1"/>
    </xf>
    <xf numFmtId="1" fontId="4" fillId="48" borderId="283" xfId="0" applyNumberFormat="1" applyFont="1" applyFill="1" applyBorder="1" applyAlignment="1" applyProtection="1">
      <alignment horizontal="center" vertical="center"/>
      <protection hidden="1"/>
    </xf>
    <xf numFmtId="1" fontId="2" fillId="0" borderId="144" xfId="0" applyNumberFormat="1" applyFont="1" applyFill="1" applyBorder="1" applyAlignment="1" applyProtection="1">
      <alignment horizontal="center" vertical="center"/>
      <protection hidden="1"/>
    </xf>
    <xf numFmtId="0" fontId="2" fillId="50" borderId="6" xfId="0" applyFont="1" applyFill="1" applyBorder="1" applyAlignment="1" applyProtection="1">
      <alignment horizontal="center" vertical="center"/>
    </xf>
    <xf numFmtId="0" fontId="2" fillId="50" borderId="33" xfId="0" applyFont="1" applyFill="1" applyBorder="1" applyAlignment="1" applyProtection="1">
      <alignment horizontal="center" vertical="center"/>
    </xf>
    <xf numFmtId="0" fontId="2" fillId="57" borderId="287" xfId="0" applyFont="1" applyFill="1" applyBorder="1" applyAlignment="1" applyProtection="1">
      <alignment horizontal="center" vertical="center"/>
    </xf>
    <xf numFmtId="0" fontId="2" fillId="57" borderId="288" xfId="0" applyFont="1" applyFill="1" applyBorder="1" applyAlignment="1" applyProtection="1">
      <alignment horizontal="center" vertical="center"/>
    </xf>
    <xf numFmtId="1" fontId="4" fillId="50" borderId="64" xfId="0" applyNumberFormat="1" applyFont="1" applyFill="1" applyBorder="1" applyAlignment="1" applyProtection="1">
      <alignment horizontal="center" vertical="center"/>
      <protection hidden="1"/>
    </xf>
    <xf numFmtId="1" fontId="4" fillId="50" borderId="119" xfId="0" applyNumberFormat="1" applyFont="1" applyFill="1" applyBorder="1" applyAlignment="1" applyProtection="1">
      <alignment horizontal="center" vertical="center"/>
      <protection hidden="1"/>
    </xf>
    <xf numFmtId="0" fontId="97" fillId="56" borderId="6" xfId="0" applyFont="1" applyFill="1" applyBorder="1" applyAlignment="1" applyProtection="1">
      <alignment horizontal="center" vertical="center" wrapText="1"/>
    </xf>
    <xf numFmtId="0" fontId="97" fillId="56" borderId="33" xfId="0" applyFont="1" applyFill="1" applyBorder="1" applyAlignment="1" applyProtection="1">
      <alignment horizontal="center" vertical="center" wrapText="1"/>
    </xf>
    <xf numFmtId="1" fontId="2" fillId="2" borderId="91" xfId="0" applyNumberFormat="1" applyFont="1" applyFill="1" applyBorder="1" applyAlignment="1" applyProtection="1">
      <alignment horizontal="center" vertical="center"/>
      <protection locked="0"/>
    </xf>
    <xf numFmtId="1" fontId="2" fillId="2" borderId="93" xfId="0" applyNumberFormat="1" applyFont="1" applyFill="1" applyBorder="1" applyAlignment="1" applyProtection="1">
      <alignment horizontal="center" vertical="center"/>
      <protection locked="0"/>
    </xf>
    <xf numFmtId="0" fontId="2" fillId="0" borderId="291" xfId="0" applyFont="1" applyBorder="1" applyAlignment="1" applyProtection="1">
      <alignment horizontal="center" vertical="center"/>
      <protection hidden="1"/>
    </xf>
    <xf numFmtId="0" fontId="9" fillId="50" borderId="7" xfId="0" applyFont="1" applyFill="1" applyBorder="1" applyAlignment="1" applyProtection="1">
      <alignment horizontal="center"/>
    </xf>
    <xf numFmtId="0" fontId="9" fillId="50" borderId="55" xfId="0" applyFont="1" applyFill="1" applyBorder="1" applyAlignment="1" applyProtection="1">
      <alignment horizontal="center"/>
    </xf>
    <xf numFmtId="0" fontId="2" fillId="50" borderId="113" xfId="0" applyFont="1" applyFill="1" applyBorder="1" applyAlignment="1" applyProtection="1">
      <alignment horizontal="center"/>
    </xf>
    <xf numFmtId="0" fontId="2" fillId="50" borderId="112" xfId="0" applyFont="1" applyFill="1" applyBorder="1" applyAlignment="1" applyProtection="1">
      <alignment horizontal="center"/>
    </xf>
    <xf numFmtId="1" fontId="5" fillId="0" borderId="64" xfId="0" applyNumberFormat="1" applyFont="1" applyFill="1" applyBorder="1" applyAlignment="1" applyProtection="1">
      <alignment horizontal="center" vertical="center"/>
      <protection hidden="1"/>
    </xf>
    <xf numFmtId="1" fontId="5" fillId="0" borderId="119" xfId="0" applyNumberFormat="1" applyFont="1" applyFill="1" applyBorder="1" applyAlignment="1" applyProtection="1">
      <alignment horizontal="center" vertical="center"/>
      <protection hidden="1"/>
    </xf>
    <xf numFmtId="1" fontId="2" fillId="2" borderId="144" xfId="0" applyNumberFormat="1" applyFont="1" applyFill="1" applyBorder="1" applyAlignment="1" applyProtection="1">
      <alignment horizontal="center" vertical="center"/>
      <protection locked="0"/>
    </xf>
    <xf numFmtId="1" fontId="2" fillId="2" borderId="131" xfId="0" applyNumberFormat="1" applyFont="1" applyFill="1" applyBorder="1" applyAlignment="1" applyProtection="1">
      <alignment horizontal="center" vertical="center"/>
      <protection locked="0"/>
    </xf>
    <xf numFmtId="0" fontId="4" fillId="48" borderId="289" xfId="0" applyFont="1" applyFill="1" applyBorder="1" applyAlignment="1" applyProtection="1">
      <alignment horizontal="center" vertical="center"/>
      <protection hidden="1"/>
    </xf>
    <xf numFmtId="0" fontId="4" fillId="48" borderId="290" xfId="0" applyFont="1" applyFill="1" applyBorder="1" applyAlignment="1" applyProtection="1">
      <alignment horizontal="center" vertical="center"/>
      <protection hidden="1"/>
    </xf>
    <xf numFmtId="1" fontId="4" fillId="48" borderId="289" xfId="0" applyNumberFormat="1" applyFont="1" applyFill="1" applyBorder="1" applyAlignment="1" applyProtection="1">
      <alignment horizontal="center" vertical="center"/>
      <protection hidden="1"/>
    </xf>
    <xf numFmtId="1" fontId="4" fillId="48" borderId="264" xfId="0" applyNumberFormat="1" applyFont="1" applyFill="1" applyBorder="1" applyAlignment="1" applyProtection="1">
      <alignment horizontal="center" vertical="center"/>
      <protection hidden="1"/>
    </xf>
    <xf numFmtId="1" fontId="4" fillId="48" borderId="263" xfId="0" applyNumberFormat="1" applyFont="1" applyFill="1" applyBorder="1" applyAlignment="1" applyProtection="1">
      <alignment horizontal="center" vertical="center"/>
      <protection hidden="1"/>
    </xf>
    <xf numFmtId="1" fontId="4" fillId="48" borderId="290" xfId="0" applyNumberFormat="1" applyFont="1" applyFill="1" applyBorder="1" applyAlignment="1" applyProtection="1">
      <alignment horizontal="center" vertical="center"/>
      <protection hidden="1"/>
    </xf>
    <xf numFmtId="0" fontId="4" fillId="48" borderId="264" xfId="0" applyFont="1" applyFill="1" applyBorder="1" applyAlignment="1" applyProtection="1">
      <alignment horizontal="center" vertical="center"/>
      <protection hidden="1"/>
    </xf>
    <xf numFmtId="0" fontId="9" fillId="52" borderId="91" xfId="0" applyFont="1" applyFill="1" applyBorder="1" applyAlignment="1" applyProtection="1">
      <alignment horizontal="center" vertical="center"/>
      <protection locked="0"/>
    </xf>
    <xf numFmtId="0" fontId="9" fillId="52" borderId="90" xfId="0" applyFont="1" applyFill="1" applyBorder="1" applyAlignment="1" applyProtection="1">
      <alignment horizontal="center" vertical="center"/>
      <protection locked="0"/>
    </xf>
    <xf numFmtId="0" fontId="9" fillId="52" borderId="93" xfId="0" applyFont="1" applyFill="1" applyBorder="1" applyAlignment="1" applyProtection="1">
      <alignment horizontal="center" vertical="center"/>
      <protection locked="0"/>
    </xf>
    <xf numFmtId="0" fontId="2" fillId="57" borderId="275" xfId="0" applyFont="1" applyFill="1" applyBorder="1" applyAlignment="1" applyProtection="1">
      <alignment horizontal="center" vertical="center" wrapText="1"/>
    </xf>
    <xf numFmtId="0" fontId="2" fillId="57" borderId="258" xfId="0" applyFont="1" applyFill="1" applyBorder="1" applyAlignment="1" applyProtection="1">
      <alignment horizontal="center" vertical="center" wrapText="1"/>
    </xf>
    <xf numFmtId="0" fontId="2" fillId="52" borderId="144" xfId="0" applyFont="1" applyFill="1" applyBorder="1" applyAlignment="1" applyProtection="1">
      <alignment horizontal="center" vertical="center"/>
      <protection locked="0"/>
    </xf>
    <xf numFmtId="0" fontId="2" fillId="52" borderId="149" xfId="0" applyFont="1" applyFill="1" applyBorder="1" applyAlignment="1" applyProtection="1">
      <alignment horizontal="center" vertical="center"/>
      <protection locked="0"/>
    </xf>
    <xf numFmtId="0" fontId="2" fillId="52" borderId="131" xfId="0" applyFont="1" applyFill="1" applyBorder="1" applyAlignment="1" applyProtection="1">
      <alignment horizontal="center" vertical="center"/>
      <protection locked="0"/>
    </xf>
    <xf numFmtId="0" fontId="2" fillId="52" borderId="86" xfId="0" applyFont="1" applyFill="1" applyBorder="1" applyAlignment="1" applyProtection="1">
      <alignment horizontal="center" vertical="center"/>
      <protection locked="0"/>
    </xf>
    <xf numFmtId="0" fontId="2" fillId="52" borderId="85" xfId="0" applyFont="1" applyFill="1" applyBorder="1" applyAlignment="1" applyProtection="1">
      <alignment horizontal="center" vertical="center"/>
      <protection locked="0"/>
    </xf>
    <xf numFmtId="0" fontId="2" fillId="52" borderId="88" xfId="0" applyFont="1" applyFill="1" applyBorder="1" applyAlignment="1" applyProtection="1">
      <alignment horizontal="center" vertical="center"/>
      <protection locked="0"/>
    </xf>
    <xf numFmtId="0" fontId="9" fillId="52" borderId="144" xfId="0" applyFont="1" applyFill="1" applyBorder="1" applyAlignment="1" applyProtection="1">
      <alignment horizontal="center" vertical="center"/>
      <protection locked="0"/>
    </xf>
    <xf numFmtId="0" fontId="9" fillId="52" borderId="149" xfId="0" applyFont="1" applyFill="1" applyBorder="1" applyAlignment="1" applyProtection="1">
      <alignment horizontal="center" vertical="center"/>
      <protection locked="0"/>
    </xf>
    <xf numFmtId="0" fontId="9" fillId="52" borderId="131" xfId="0" applyFont="1" applyFill="1" applyBorder="1" applyAlignment="1" applyProtection="1">
      <alignment horizontal="center" vertical="center"/>
      <protection locked="0"/>
    </xf>
    <xf numFmtId="1" fontId="9" fillId="0" borderId="219" xfId="0" applyNumberFormat="1" applyFont="1" applyBorder="1" applyAlignment="1" applyProtection="1">
      <alignment horizontal="center" vertical="center"/>
      <protection hidden="1"/>
    </xf>
    <xf numFmtId="0" fontId="9" fillId="0" borderId="223" xfId="0" applyFont="1" applyBorder="1" applyAlignment="1" applyProtection="1">
      <alignment horizontal="center" vertical="center"/>
      <protection hidden="1"/>
    </xf>
    <xf numFmtId="1" fontId="9" fillId="0" borderId="223" xfId="0" applyNumberFormat="1" applyFont="1" applyBorder="1" applyAlignment="1" applyProtection="1">
      <alignment horizontal="center" vertical="center"/>
      <protection hidden="1"/>
    </xf>
    <xf numFmtId="0" fontId="5" fillId="0" borderId="0" xfId="0" applyFont="1" applyAlignment="1" applyProtection="1">
      <alignment horizontal="left" vertical="center" wrapText="1"/>
    </xf>
    <xf numFmtId="0" fontId="12" fillId="0" borderId="219" xfId="0" applyFont="1" applyBorder="1" applyAlignment="1" applyProtection="1">
      <alignment horizontal="left" vertical="center"/>
    </xf>
    <xf numFmtId="0" fontId="12" fillId="0" borderId="0" xfId="0" applyFont="1" applyBorder="1" applyAlignment="1" applyProtection="1">
      <alignment horizontal="left" vertical="center"/>
    </xf>
    <xf numFmtId="0" fontId="9" fillId="52" borderId="56" xfId="0" applyFont="1" applyFill="1" applyBorder="1" applyAlignment="1" applyProtection="1">
      <alignment horizontal="left" vertical="center"/>
      <protection locked="0"/>
    </xf>
    <xf numFmtId="0" fontId="9" fillId="52" borderId="19" xfId="0" applyFont="1" applyFill="1" applyBorder="1" applyAlignment="1" applyProtection="1">
      <alignment horizontal="left" vertical="center"/>
      <protection locked="0"/>
    </xf>
    <xf numFmtId="0" fontId="17" fillId="50" borderId="112" xfId="0" applyFont="1" applyFill="1" applyBorder="1" applyAlignment="1" applyProtection="1">
      <alignment horizontal="center" vertical="center" textRotation="90" wrapText="1"/>
    </xf>
    <xf numFmtId="0" fontId="17" fillId="50" borderId="55" xfId="0" applyFont="1" applyFill="1" applyBorder="1" applyAlignment="1" applyProtection="1">
      <alignment horizontal="center" vertical="center" textRotation="90" wrapText="1"/>
    </xf>
    <xf numFmtId="0" fontId="9" fillId="52" borderId="44" xfId="0" applyFont="1" applyFill="1" applyBorder="1" applyAlignment="1" applyProtection="1">
      <alignment horizontal="left" vertical="center"/>
      <protection locked="0"/>
    </xf>
    <xf numFmtId="0" fontId="9" fillId="52" borderId="53" xfId="0" applyFont="1" applyFill="1" applyBorder="1" applyAlignment="1" applyProtection="1">
      <alignment horizontal="left" vertical="center"/>
      <protection locked="0"/>
    </xf>
    <xf numFmtId="1" fontId="2" fillId="0" borderId="86" xfId="0" applyNumberFormat="1" applyFont="1" applyFill="1" applyBorder="1" applyAlignment="1" applyProtection="1">
      <alignment horizontal="center" vertical="center"/>
      <protection hidden="1"/>
    </xf>
    <xf numFmtId="0" fontId="94" fillId="0" borderId="232" xfId="0" applyFont="1" applyFill="1" applyBorder="1" applyAlignment="1" applyProtection="1">
      <alignment horizontal="left" vertical="center"/>
    </xf>
    <xf numFmtId="0" fontId="94" fillId="0" borderId="222" xfId="0" applyFont="1" applyFill="1" applyBorder="1" applyAlignment="1" applyProtection="1">
      <alignment horizontal="left" vertical="center"/>
    </xf>
    <xf numFmtId="1" fontId="0" fillId="52" borderId="196" xfId="0" applyNumberFormat="1" applyFill="1" applyBorder="1" applyAlignment="1" applyProtection="1">
      <alignment horizontal="center"/>
      <protection locked="0"/>
    </xf>
    <xf numFmtId="1" fontId="0" fillId="52" borderId="63" xfId="0" applyNumberFormat="1" applyFill="1" applyBorder="1" applyAlignment="1" applyProtection="1">
      <alignment horizontal="center"/>
      <protection locked="0"/>
    </xf>
    <xf numFmtId="1" fontId="0" fillId="52" borderId="122" xfId="0" applyNumberFormat="1" applyFill="1" applyBorder="1" applyAlignment="1" applyProtection="1">
      <alignment horizontal="center"/>
      <protection locked="0"/>
    </xf>
    <xf numFmtId="0" fontId="2" fillId="57" borderId="292" xfId="42" applyFont="1" applyFill="1" applyBorder="1" applyAlignment="1" applyProtection="1">
      <alignment horizontal="center" vertical="center"/>
    </xf>
    <xf numFmtId="0" fontId="2" fillId="57" borderId="25" xfId="42" applyFont="1" applyFill="1" applyBorder="1" applyAlignment="1" applyProtection="1">
      <alignment horizontal="center" vertical="center"/>
    </xf>
    <xf numFmtId="0" fontId="2" fillId="57" borderId="293" xfId="42" applyFont="1" applyFill="1" applyBorder="1" applyAlignment="1" applyProtection="1">
      <alignment horizontal="center" vertical="center"/>
    </xf>
    <xf numFmtId="0" fontId="12" fillId="0" borderId="1" xfId="0" applyFont="1" applyFill="1" applyBorder="1" applyAlignment="1" applyProtection="1">
      <alignment horizontal="left" vertical="center"/>
    </xf>
    <xf numFmtId="0" fontId="12" fillId="0" borderId="133" xfId="0" applyFont="1" applyFill="1" applyBorder="1" applyAlignment="1" applyProtection="1">
      <alignment horizontal="left" vertical="center"/>
    </xf>
    <xf numFmtId="0" fontId="2" fillId="52" borderId="70" xfId="0" applyFont="1" applyFill="1" applyBorder="1" applyAlignment="1" applyProtection="1">
      <alignment horizontal="center" vertical="center"/>
      <protection locked="0"/>
    </xf>
    <xf numFmtId="0" fontId="9" fillId="52" borderId="189" xfId="0" applyFont="1" applyFill="1" applyBorder="1" applyAlignment="1" applyProtection="1">
      <alignment horizontal="left" vertical="center"/>
      <protection locked="0"/>
    </xf>
    <xf numFmtId="0" fontId="9" fillId="52" borderId="143" xfId="0" applyFont="1" applyFill="1" applyBorder="1" applyAlignment="1" applyProtection="1">
      <alignment horizontal="left" vertical="center"/>
      <protection locked="0"/>
    </xf>
    <xf numFmtId="0" fontId="94" fillId="0" borderId="278" xfId="0" applyFont="1" applyFill="1" applyBorder="1" applyAlignment="1" applyProtection="1">
      <alignment horizontal="left" vertical="center"/>
    </xf>
    <xf numFmtId="0" fontId="94" fillId="0" borderId="279" xfId="0" applyFont="1" applyFill="1" applyBorder="1" applyAlignment="1" applyProtection="1">
      <alignment horizontal="left" vertical="center"/>
    </xf>
    <xf numFmtId="0" fontId="12" fillId="57" borderId="255" xfId="0" applyFont="1" applyFill="1" applyBorder="1" applyAlignment="1" applyProtection="1">
      <alignment horizontal="left" vertical="center"/>
    </xf>
    <xf numFmtId="0" fontId="12" fillId="57" borderId="231" xfId="0" applyFont="1" applyFill="1" applyBorder="1" applyAlignment="1" applyProtection="1">
      <alignment horizontal="left" vertical="center"/>
    </xf>
    <xf numFmtId="0" fontId="12" fillId="57" borderId="283" xfId="0" applyFont="1" applyFill="1" applyBorder="1" applyAlignment="1" applyProtection="1">
      <alignment horizontal="left" vertical="center"/>
    </xf>
    <xf numFmtId="0" fontId="9" fillId="0" borderId="187" xfId="0" applyFont="1" applyBorder="1" applyAlignment="1" applyProtection="1">
      <alignment horizontal="left" vertical="center"/>
    </xf>
    <xf numFmtId="0" fontId="9" fillId="0" borderId="105" xfId="0" applyFont="1" applyBorder="1" applyAlignment="1" applyProtection="1">
      <alignment horizontal="left" vertical="center"/>
    </xf>
    <xf numFmtId="0" fontId="9" fillId="0" borderId="106" xfId="0" applyFont="1" applyBorder="1" applyAlignment="1" applyProtection="1">
      <alignment horizontal="left" vertical="center"/>
    </xf>
    <xf numFmtId="0" fontId="2" fillId="57" borderId="224" xfId="42" applyFont="1" applyFill="1" applyBorder="1" applyAlignment="1" applyProtection="1">
      <alignment horizontal="center" vertical="center"/>
    </xf>
    <xf numFmtId="1" fontId="4" fillId="48" borderId="233"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0" fontId="2" fillId="57" borderId="286" xfId="0" applyFont="1" applyFill="1" applyBorder="1" applyAlignment="1" applyProtection="1">
      <alignment horizontal="center" vertical="center"/>
      <protection hidden="1"/>
    </xf>
    <xf numFmtId="0" fontId="2" fillId="57" borderId="243" xfId="0" applyFont="1" applyFill="1" applyBorder="1" applyAlignment="1" applyProtection="1">
      <alignment horizontal="center" vertical="center"/>
      <protection hidden="1"/>
    </xf>
    <xf numFmtId="0" fontId="9" fillId="50" borderId="7" xfId="0" applyFont="1" applyFill="1" applyBorder="1" applyAlignment="1" applyProtection="1">
      <alignment horizontal="center" vertical="center"/>
    </xf>
    <xf numFmtId="0" fontId="9" fillId="50" borderId="33" xfId="0" applyFont="1" applyFill="1" applyBorder="1" applyAlignment="1" applyProtection="1">
      <alignment horizontal="center" vertical="center"/>
    </xf>
    <xf numFmtId="1" fontId="2" fillId="0" borderId="63" xfId="0" applyNumberFormat="1" applyFont="1" applyBorder="1" applyAlignment="1" applyProtection="1">
      <alignment horizontal="center" vertical="center"/>
      <protection hidden="1"/>
    </xf>
    <xf numFmtId="1" fontId="2" fillId="0" borderId="119" xfId="0" applyNumberFormat="1" applyFont="1" applyBorder="1" applyAlignment="1" applyProtection="1">
      <alignment horizontal="center" vertical="center"/>
      <protection hidden="1"/>
    </xf>
    <xf numFmtId="1" fontId="0" fillId="52" borderId="197" xfId="0" applyNumberFormat="1" applyFill="1" applyBorder="1" applyAlignment="1" applyProtection="1">
      <alignment horizontal="center"/>
      <protection locked="0"/>
    </xf>
    <xf numFmtId="1" fontId="0" fillId="52" borderId="179" xfId="0" applyNumberFormat="1" applyFill="1" applyBorder="1" applyAlignment="1" applyProtection="1">
      <alignment horizontal="center"/>
      <protection locked="0"/>
    </xf>
    <xf numFmtId="1" fontId="0" fillId="52" borderId="195" xfId="0" applyNumberFormat="1" applyFill="1" applyBorder="1" applyAlignment="1" applyProtection="1">
      <alignment horizontal="center"/>
      <protection locked="0"/>
    </xf>
    <xf numFmtId="0" fontId="2" fillId="59" borderId="234" xfId="0" applyFont="1" applyFill="1" applyBorder="1" applyAlignment="1" applyProtection="1">
      <alignment horizontal="center" vertical="center"/>
      <protection hidden="1"/>
    </xf>
    <xf numFmtId="0" fontId="2" fillId="59" borderId="236" xfId="0" applyFont="1" applyFill="1" applyBorder="1" applyAlignment="1" applyProtection="1">
      <alignment horizontal="center" vertical="center"/>
      <protection hidden="1"/>
    </xf>
    <xf numFmtId="0" fontId="9" fillId="0" borderId="51" xfId="0" applyFont="1" applyFill="1" applyBorder="1" applyAlignment="1" applyProtection="1">
      <alignment horizontal="center" vertical="center"/>
      <protection locked="0" hidden="1"/>
    </xf>
    <xf numFmtId="1" fontId="0" fillId="0" borderId="294" xfId="0" applyNumberFormat="1" applyFill="1" applyBorder="1" applyAlignment="1" applyProtection="1">
      <alignment horizontal="center" vertical="center"/>
      <protection hidden="1"/>
    </xf>
    <xf numFmtId="1" fontId="0" fillId="0" borderId="242" xfId="0" applyNumberFormat="1" applyFill="1" applyBorder="1" applyAlignment="1" applyProtection="1">
      <alignment horizontal="center" vertical="center"/>
      <protection hidden="1"/>
    </xf>
    <xf numFmtId="0" fontId="27" fillId="48" borderId="295" xfId="0" applyFont="1" applyFill="1" applyBorder="1" applyAlignment="1" applyProtection="1">
      <alignment horizontal="left"/>
    </xf>
    <xf numFmtId="0" fontId="27" fillId="48" borderId="296" xfId="0" applyFont="1" applyFill="1" applyBorder="1" applyAlignment="1" applyProtection="1">
      <alignment horizontal="left"/>
    </xf>
    <xf numFmtId="1" fontId="2" fillId="2" borderId="110" xfId="0" applyNumberFormat="1" applyFont="1" applyFill="1" applyBorder="1" applyAlignment="1" applyProtection="1">
      <alignment horizontal="center" vertical="center"/>
      <protection locked="0"/>
    </xf>
    <xf numFmtId="1" fontId="2" fillId="2" borderId="156" xfId="0" applyNumberFormat="1" applyFont="1" applyFill="1" applyBorder="1" applyAlignment="1" applyProtection="1">
      <alignment horizontal="center" vertical="center"/>
      <protection locked="0"/>
    </xf>
    <xf numFmtId="0" fontId="27" fillId="48" borderId="295" xfId="0" applyFont="1" applyFill="1" applyBorder="1" applyAlignment="1" applyProtection="1">
      <alignment horizontal="center" vertical="center"/>
      <protection hidden="1"/>
    </xf>
    <xf numFmtId="0" fontId="27" fillId="48" borderId="296" xfId="0" applyFont="1" applyFill="1" applyBorder="1" applyAlignment="1" applyProtection="1">
      <alignment horizontal="center" vertical="center"/>
      <protection hidden="1"/>
    </xf>
    <xf numFmtId="0" fontId="27" fillId="48" borderId="297" xfId="0" applyFont="1" applyFill="1" applyBorder="1" applyAlignment="1" applyProtection="1">
      <alignment horizontal="center" vertical="center"/>
      <protection hidden="1"/>
    </xf>
    <xf numFmtId="1" fontId="2" fillId="0" borderId="246" xfId="0" applyNumberFormat="1" applyFont="1" applyBorder="1" applyAlignment="1" applyProtection="1">
      <alignment horizontal="center" vertical="center"/>
      <protection hidden="1"/>
    </xf>
    <xf numFmtId="1" fontId="9" fillId="0" borderId="298" xfId="0" applyNumberFormat="1" applyFont="1" applyBorder="1" applyAlignment="1" applyProtection="1">
      <alignment horizontal="center" vertical="center"/>
      <protection hidden="1"/>
    </xf>
    <xf numFmtId="1" fontId="9" fillId="0" borderId="299" xfId="0" applyNumberFormat="1" applyFont="1" applyBorder="1" applyAlignment="1" applyProtection="1">
      <alignment horizontal="center" vertical="center"/>
      <protection hidden="1"/>
    </xf>
    <xf numFmtId="0" fontId="95" fillId="56" borderId="3" xfId="0" applyFont="1" applyFill="1" applyBorder="1" applyAlignment="1" applyProtection="1">
      <alignment horizontal="center" vertical="center" wrapText="1"/>
    </xf>
    <xf numFmtId="0" fontId="95" fillId="56" borderId="29" xfId="0" applyFont="1" applyFill="1" applyBorder="1" applyAlignment="1" applyProtection="1">
      <alignment horizontal="center" vertical="center" wrapText="1"/>
    </xf>
    <xf numFmtId="0" fontId="4" fillId="57" borderId="217" xfId="0" applyFont="1" applyFill="1" applyBorder="1" applyAlignment="1" applyProtection="1">
      <alignment horizontal="left" vertical="center"/>
    </xf>
    <xf numFmtId="0" fontId="4" fillId="57" borderId="218" xfId="0" applyFont="1" applyFill="1" applyBorder="1" applyAlignment="1" applyProtection="1">
      <alignment horizontal="left" vertical="center"/>
    </xf>
    <xf numFmtId="0" fontId="4" fillId="57" borderId="281" xfId="0" applyFont="1" applyFill="1" applyBorder="1" applyAlignment="1" applyProtection="1">
      <alignment horizontal="left" vertical="center"/>
    </xf>
    <xf numFmtId="0" fontId="4" fillId="57" borderId="230" xfId="0" applyFont="1" applyFill="1" applyBorder="1" applyAlignment="1" applyProtection="1">
      <alignment horizontal="left" vertical="center"/>
    </xf>
    <xf numFmtId="0" fontId="9" fillId="0" borderId="219"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50" borderId="0" xfId="0" applyFont="1" applyFill="1" applyAlignment="1">
      <alignment horizontal="center"/>
    </xf>
    <xf numFmtId="0" fontId="9" fillId="60" borderId="0" xfId="0" applyFont="1" applyFill="1" applyAlignment="1">
      <alignment horizontal="center"/>
    </xf>
    <xf numFmtId="0" fontId="0" fillId="0" borderId="2" xfId="0" applyFill="1" applyBorder="1" applyAlignment="1" applyProtection="1">
      <alignment horizontal="center" vertical="center"/>
      <protection locked="0" hidden="1"/>
    </xf>
    <xf numFmtId="0" fontId="9" fillId="0" borderId="298" xfId="0" applyFont="1" applyFill="1" applyBorder="1" applyAlignment="1" applyProtection="1">
      <alignment horizontal="left" vertical="center"/>
    </xf>
    <xf numFmtId="0" fontId="9" fillId="0" borderId="271" xfId="0" applyFont="1" applyFill="1" applyBorder="1" applyAlignment="1" applyProtection="1">
      <alignment horizontal="left" vertical="center"/>
    </xf>
    <xf numFmtId="0" fontId="0" fillId="57" borderId="218" xfId="0" applyFill="1" applyBorder="1" applyAlignment="1" applyProtection="1">
      <alignment horizontal="center"/>
    </xf>
    <xf numFmtId="0" fontId="0" fillId="57" borderId="243" xfId="0" applyFill="1" applyBorder="1" applyAlignment="1" applyProtection="1">
      <alignment horizontal="center"/>
    </xf>
    <xf numFmtId="0" fontId="0" fillId="57" borderId="230" xfId="0" applyFill="1" applyBorder="1" applyAlignment="1" applyProtection="1">
      <alignment horizontal="center"/>
    </xf>
    <xf numFmtId="0" fontId="0" fillId="57" borderId="282" xfId="0" applyFill="1" applyBorder="1" applyAlignment="1" applyProtection="1">
      <alignment horizontal="center"/>
    </xf>
    <xf numFmtId="1" fontId="0" fillId="0" borderId="0" xfId="0" applyNumberFormat="1" applyBorder="1" applyAlignment="1" applyProtection="1">
      <alignment horizontal="center" vertical="center"/>
      <protection hidden="1"/>
    </xf>
    <xf numFmtId="1" fontId="0" fillId="0" borderId="223" xfId="0" applyNumberFormat="1" applyBorder="1" applyAlignment="1" applyProtection="1">
      <alignment horizontal="center" vertical="center"/>
      <protection hidden="1"/>
    </xf>
    <xf numFmtId="0" fontId="2" fillId="57" borderId="281" xfId="0" applyFont="1" applyFill="1" applyBorder="1" applyAlignment="1" applyProtection="1">
      <alignment horizontal="center"/>
    </xf>
    <xf numFmtId="0" fontId="2" fillId="57" borderId="300" xfId="0" applyFont="1" applyFill="1" applyBorder="1" applyAlignment="1" applyProtection="1">
      <alignment horizontal="center"/>
    </xf>
    <xf numFmtId="0" fontId="2" fillId="57" borderId="218" xfId="0" applyFont="1" applyFill="1" applyBorder="1" applyAlignment="1" applyProtection="1">
      <alignment horizontal="center"/>
    </xf>
    <xf numFmtId="166" fontId="0" fillId="6" borderId="238" xfId="0" applyNumberFormat="1" applyFill="1" applyBorder="1" applyAlignment="1" applyProtection="1">
      <alignment horizontal="center" vertical="center"/>
      <protection hidden="1"/>
    </xf>
    <xf numFmtId="166" fontId="0" fillId="0" borderId="241" xfId="0" applyNumberForma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xf>
    <xf numFmtId="0" fontId="2" fillId="0" borderId="133" xfId="0" applyFont="1" applyFill="1" applyBorder="1" applyAlignment="1" applyProtection="1">
      <alignment horizontal="center" vertical="center"/>
    </xf>
    <xf numFmtId="0" fontId="9" fillId="52" borderId="86" xfId="0" applyFont="1" applyFill="1" applyBorder="1" applyAlignment="1" applyProtection="1">
      <alignment horizontal="center" vertical="center"/>
      <protection locked="0"/>
    </xf>
    <xf numFmtId="0" fontId="9" fillId="52" borderId="85" xfId="0" applyFont="1" applyFill="1" applyBorder="1" applyAlignment="1" applyProtection="1">
      <alignment horizontal="center" vertical="center"/>
      <protection locked="0"/>
    </xf>
    <xf numFmtId="0" fontId="9" fillId="52" borderId="88" xfId="0" applyFont="1" applyFill="1" applyBorder="1" applyAlignment="1" applyProtection="1">
      <alignment horizontal="center" vertical="center"/>
      <protection locked="0"/>
    </xf>
    <xf numFmtId="0" fontId="2" fillId="50" borderId="60" xfId="0" applyFont="1" applyFill="1" applyBorder="1" applyAlignment="1" applyProtection="1">
      <alignment horizontal="center" vertical="center"/>
    </xf>
    <xf numFmtId="0" fontId="2" fillId="50" borderId="7" xfId="0" applyFont="1" applyFill="1" applyBorder="1" applyAlignment="1" applyProtection="1">
      <alignment horizontal="center" vertical="center"/>
    </xf>
    <xf numFmtId="0" fontId="2" fillId="0" borderId="143" xfId="0" applyFont="1" applyFill="1" applyBorder="1" applyAlignment="1" applyProtection="1">
      <alignment horizontal="center" vertical="center"/>
    </xf>
    <xf numFmtId="0" fontId="2" fillId="0" borderId="190" xfId="0" applyFont="1" applyFill="1" applyBorder="1" applyAlignment="1" applyProtection="1">
      <alignment horizontal="center" vertical="center"/>
    </xf>
    <xf numFmtId="0" fontId="2" fillId="56" borderId="6" xfId="0" applyFont="1" applyFill="1" applyBorder="1" applyAlignment="1" applyProtection="1">
      <alignment horizontal="center" vertical="center"/>
    </xf>
    <xf numFmtId="0" fontId="2" fillId="56" borderId="33"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9" fillId="52" borderId="149" xfId="0" applyFont="1" applyFill="1" applyBorder="1" applyAlignment="1" applyProtection="1">
      <alignment horizontal="center"/>
      <protection locked="0"/>
    </xf>
    <xf numFmtId="0" fontId="29" fillId="52" borderId="85" xfId="0" applyFont="1" applyFill="1" applyBorder="1" applyAlignment="1" applyProtection="1">
      <alignment horizontal="center"/>
      <protection locked="0"/>
    </xf>
    <xf numFmtId="0" fontId="2" fillId="0" borderId="260" xfId="0" applyFont="1" applyFill="1" applyBorder="1" applyAlignment="1" applyProtection="1">
      <alignment horizontal="left" vertical="center"/>
    </xf>
    <xf numFmtId="0" fontId="2" fillId="0" borderId="231" xfId="0" applyFont="1" applyFill="1" applyBorder="1" applyAlignment="1" applyProtection="1">
      <alignment horizontal="left" vertical="center"/>
    </xf>
    <xf numFmtId="166" fontId="0" fillId="52" borderId="73" xfId="0" applyNumberFormat="1" applyFill="1" applyBorder="1" applyAlignment="1" applyProtection="1">
      <alignment horizontal="center"/>
      <protection locked="0"/>
    </xf>
    <xf numFmtId="166" fontId="0" fillId="52" borderId="146" xfId="0" applyNumberFormat="1" applyFill="1" applyBorder="1" applyAlignment="1" applyProtection="1">
      <alignment horizontal="center"/>
      <protection locked="0"/>
    </xf>
    <xf numFmtId="0" fontId="0" fillId="52" borderId="73" xfId="0" applyFill="1" applyBorder="1" applyAlignment="1" applyProtection="1">
      <alignment horizontal="center"/>
      <protection locked="0"/>
    </xf>
    <xf numFmtId="0" fontId="0" fillId="52" borderId="146" xfId="0" applyFill="1" applyBorder="1" applyAlignment="1" applyProtection="1">
      <alignment horizontal="center"/>
      <protection locked="0"/>
    </xf>
    <xf numFmtId="0" fontId="9" fillId="50" borderId="101" xfId="0" applyFont="1" applyFill="1" applyBorder="1" applyAlignment="1" applyProtection="1">
      <alignment horizontal="center" wrapText="1"/>
    </xf>
    <xf numFmtId="0" fontId="9" fillId="50" borderId="36" xfId="0" applyFont="1" applyFill="1" applyBorder="1" applyAlignment="1" applyProtection="1">
      <alignment horizontal="center" wrapText="1"/>
    </xf>
    <xf numFmtId="0" fontId="0" fillId="0" borderId="64" xfId="0" applyBorder="1" applyAlignment="1">
      <alignment horizontal="center"/>
    </xf>
    <xf numFmtId="0" fontId="0" fillId="0" borderId="119" xfId="0" applyBorder="1" applyAlignment="1">
      <alignment horizontal="center"/>
    </xf>
    <xf numFmtId="0" fontId="0" fillId="0" borderId="63" xfId="0" applyBorder="1" applyAlignment="1">
      <alignment horizontal="center"/>
    </xf>
    <xf numFmtId="0" fontId="9" fillId="0" borderId="63" xfId="0" applyFont="1" applyBorder="1" applyAlignment="1">
      <alignment horizontal="center"/>
    </xf>
    <xf numFmtId="0" fontId="9" fillId="0" borderId="64" xfId="0" applyFont="1" applyBorder="1" applyAlignment="1">
      <alignment horizontal="center"/>
    </xf>
    <xf numFmtId="0" fontId="9" fillId="0" borderId="119" xfId="0" applyFont="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29" xfId="0" applyFont="1" applyFill="1" applyBorder="1" applyAlignment="1">
      <alignment horizontal="center"/>
    </xf>
    <xf numFmtId="0" fontId="9" fillId="0" borderId="0" xfId="0" applyFont="1" applyAlignment="1" applyProtection="1">
      <alignment horizontal="center"/>
      <protection locked="0" hidden="1"/>
    </xf>
    <xf numFmtId="0" fontId="4" fillId="0" borderId="0" xfId="0" applyFont="1" applyFill="1" applyBorder="1" applyAlignment="1" applyProtection="1">
      <alignment horizontal="center" vertical="center"/>
    </xf>
    <xf numFmtId="0" fontId="2" fillId="0" borderId="64" xfId="0" applyFont="1" applyBorder="1" applyAlignment="1">
      <alignment horizontal="center"/>
    </xf>
    <xf numFmtId="0" fontId="2" fillId="0" borderId="63" xfId="0" applyFont="1" applyBorder="1" applyAlignment="1">
      <alignment horizontal="center"/>
    </xf>
    <xf numFmtId="0" fontId="2" fillId="0" borderId="119" xfId="0" applyFont="1" applyBorder="1" applyAlignment="1">
      <alignment horizontal="center"/>
    </xf>
    <xf numFmtId="0" fontId="2" fillId="0" borderId="64" xfId="0" applyFont="1" applyFill="1" applyBorder="1" applyAlignment="1">
      <alignment horizontal="center"/>
    </xf>
    <xf numFmtId="0" fontId="2" fillId="0" borderId="63" xfId="0" applyFont="1" applyFill="1" applyBorder="1" applyAlignment="1">
      <alignment horizontal="center"/>
    </xf>
    <xf numFmtId="0" fontId="2" fillId="0" borderId="119"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9" xfId="0" applyFont="1" applyBorder="1" applyAlignment="1">
      <alignment horizontal="center"/>
    </xf>
    <xf numFmtId="0" fontId="2" fillId="0" borderId="0" xfId="62" applyFont="1" applyFill="1" applyBorder="1" applyAlignment="1">
      <alignment horizontal="center"/>
    </xf>
    <xf numFmtId="0" fontId="2" fillId="0" borderId="31" xfId="62" applyFont="1" applyFill="1" applyBorder="1" applyAlignment="1">
      <alignment horizontal="center"/>
    </xf>
    <xf numFmtId="0" fontId="2" fillId="0" borderId="3" xfId="62" applyFont="1" applyFill="1" applyBorder="1" applyAlignment="1">
      <alignment horizontal="center"/>
    </xf>
    <xf numFmtId="0" fontId="2" fillId="0" borderId="4" xfId="62" applyFont="1" applyFill="1" applyBorder="1" applyAlignment="1">
      <alignment horizontal="center"/>
    </xf>
    <xf numFmtId="0" fontId="2" fillId="0" borderId="29" xfId="62" applyFont="1" applyFill="1" applyBorder="1" applyAlignment="1">
      <alignment horizontal="center"/>
    </xf>
    <xf numFmtId="0" fontId="2" fillId="0" borderId="4" xfId="62" applyFont="1" applyFill="1" applyBorder="1" applyAlignment="1">
      <alignment horizontal="center" vertical="center"/>
    </xf>
    <xf numFmtId="0" fontId="2" fillId="0" borderId="29" xfId="62" applyFont="1" applyFill="1" applyBorder="1" applyAlignment="1">
      <alignment horizontal="center" vertical="center"/>
    </xf>
    <xf numFmtId="0" fontId="2" fillId="0" borderId="5" xfId="62" applyFont="1" applyFill="1" applyBorder="1" applyAlignment="1">
      <alignment horizontal="center"/>
    </xf>
    <xf numFmtId="0" fontId="2" fillId="0" borderId="0" xfId="62" applyFont="1" applyFill="1" applyBorder="1" applyAlignment="1">
      <alignment horizontal="center" vertical="center"/>
    </xf>
    <xf numFmtId="0" fontId="2" fillId="0" borderId="31" xfId="62" applyFont="1" applyFill="1" applyBorder="1" applyAlignment="1">
      <alignment horizontal="center" vertical="center"/>
    </xf>
    <xf numFmtId="0" fontId="9" fillId="0" borderId="51" xfId="0" applyFont="1" applyFill="1" applyBorder="1" applyAlignment="1">
      <alignment horizontal="center"/>
    </xf>
    <xf numFmtId="0" fontId="9" fillId="0" borderId="13" xfId="0" applyFont="1" applyFill="1" applyBorder="1" applyAlignment="1">
      <alignment horizontal="center"/>
    </xf>
    <xf numFmtId="0" fontId="9" fillId="0" borderId="21" xfId="0" applyFont="1" applyFill="1" applyBorder="1" applyAlignment="1">
      <alignment horizontal="center"/>
    </xf>
    <xf numFmtId="0" fontId="9" fillId="0" borderId="50" xfId="0" applyFont="1" applyFill="1" applyBorder="1" applyAlignment="1">
      <alignment horizontal="center"/>
    </xf>
    <xf numFmtId="0" fontId="9" fillId="0" borderId="0" xfId="0" applyFont="1" applyFill="1" applyBorder="1" applyAlignment="1">
      <alignment horizontal="center"/>
    </xf>
    <xf numFmtId="0" fontId="78" fillId="0" borderId="5" xfId="0" applyFont="1" applyBorder="1" applyAlignment="1">
      <alignment horizontal="center"/>
    </xf>
    <xf numFmtId="0" fontId="78" fillId="0" borderId="31" xfId="0" applyFont="1" applyBorder="1" applyAlignment="1">
      <alignment horizontal="center"/>
    </xf>
    <xf numFmtId="49" fontId="77" fillId="42" borderId="20" xfId="62" applyNumberFormat="1" applyFont="1" applyFill="1" applyBorder="1" applyAlignment="1">
      <alignment horizontal="center" vertical="center"/>
    </xf>
    <xf numFmtId="0" fontId="73" fillId="0" borderId="15" xfId="62" applyFont="1" applyFill="1" applyBorder="1" applyAlignment="1">
      <alignment horizontal="center" vertical="center"/>
    </xf>
    <xf numFmtId="49" fontId="19" fillId="42" borderId="198" xfId="62" applyNumberFormat="1" applyFont="1" applyFill="1" applyBorder="1" applyAlignment="1">
      <alignment vertical="center"/>
    </xf>
    <xf numFmtId="0" fontId="73" fillId="0" borderId="199" xfId="62" applyFont="1" applyFill="1" applyBorder="1" applyAlignment="1">
      <alignment vertical="center"/>
    </xf>
    <xf numFmtId="49" fontId="77" fillId="42" borderId="15" xfId="62" applyNumberFormat="1" applyFont="1" applyFill="1" applyBorder="1" applyAlignment="1">
      <alignment horizontal="center" vertical="center"/>
    </xf>
    <xf numFmtId="0" fontId="77" fillId="42" borderId="21" xfId="62" applyFont="1" applyFill="1" applyBorder="1" applyAlignment="1">
      <alignment horizontal="left" vertical="center"/>
    </xf>
    <xf numFmtId="0" fontId="77" fillId="42" borderId="16" xfId="62" applyFont="1" applyFill="1" applyBorder="1" applyAlignment="1">
      <alignment horizontal="left" vertical="center"/>
    </xf>
    <xf numFmtId="0" fontId="77" fillId="42" borderId="21" xfId="62" applyFont="1" applyFill="1" applyBorder="1" applyAlignment="1">
      <alignment vertical="center"/>
    </xf>
    <xf numFmtId="0" fontId="73" fillId="0" borderId="16" xfId="62" applyFont="1" applyFill="1" applyBorder="1" applyAlignment="1">
      <alignment vertical="center"/>
    </xf>
    <xf numFmtId="0" fontId="77" fillId="42" borderId="16" xfId="62" applyFont="1" applyFill="1" applyBorder="1" applyAlignment="1">
      <alignment vertical="center"/>
    </xf>
    <xf numFmtId="0" fontId="74" fillId="41" borderId="193" xfId="62" applyFont="1" applyFill="1" applyBorder="1" applyAlignment="1">
      <alignment horizontal="center" vertical="center"/>
    </xf>
    <xf numFmtId="0" fontId="75" fillId="0" borderId="27" xfId="62" applyFont="1" applyFill="1" applyBorder="1" applyAlignment="1">
      <alignment horizontal="center"/>
    </xf>
    <xf numFmtId="49" fontId="19" fillId="43" borderId="22" xfId="62" applyNumberFormat="1" applyFont="1" applyFill="1" applyBorder="1" applyAlignment="1">
      <alignment horizontal="left" vertical="top"/>
    </xf>
    <xf numFmtId="49" fontId="19" fillId="43" borderId="25" xfId="62" applyNumberFormat="1" applyFont="1" applyFill="1" applyBorder="1" applyAlignment="1">
      <alignment horizontal="left" vertical="top"/>
    </xf>
    <xf numFmtId="49" fontId="19" fillId="43" borderId="22" xfId="62" applyNumberFormat="1" applyFont="1" applyFill="1" applyBorder="1" applyAlignment="1">
      <alignment horizontal="left" vertical="center"/>
    </xf>
    <xf numFmtId="49" fontId="19" fillId="43" borderId="17" xfId="62" applyNumberFormat="1" applyFont="1" applyFill="1" applyBorder="1" applyAlignment="1">
      <alignment horizontal="left" vertical="center"/>
    </xf>
    <xf numFmtId="0" fontId="0" fillId="0" borderId="0" xfId="0" applyAlignment="1">
      <alignment horizontal="center" vertical="center"/>
    </xf>
    <xf numFmtId="0" fontId="12" fillId="0" borderId="3" xfId="0" applyFont="1" applyBorder="1" applyAlignment="1" applyProtection="1">
      <alignment horizontal="center" wrapText="1"/>
      <protection locked="0"/>
    </xf>
    <xf numFmtId="0" fontId="12" fillId="0" borderId="4" xfId="0" applyFont="1" applyBorder="1" applyAlignment="1" applyProtection="1">
      <alignment horizontal="center" wrapText="1"/>
      <protection locked="0"/>
    </xf>
    <xf numFmtId="0" fontId="12" fillId="0" borderId="29" xfId="0" applyFont="1" applyBorder="1" applyAlignment="1" applyProtection="1">
      <alignment horizontal="center" wrapText="1"/>
      <protection locked="0"/>
    </xf>
    <xf numFmtId="0" fontId="5" fillId="7" borderId="30" xfId="42" applyFont="1" applyFill="1" applyBorder="1" applyAlignment="1" applyProtection="1">
      <alignment horizontal="center" vertical="center" wrapText="1"/>
      <protection locked="0"/>
    </xf>
    <xf numFmtId="0" fontId="5" fillId="7" borderId="32" xfId="42" applyFont="1" applyFill="1" applyBorder="1" applyAlignment="1" applyProtection="1">
      <alignment horizontal="center" vertical="center" wrapText="1"/>
      <protection locked="0"/>
    </xf>
    <xf numFmtId="0" fontId="5" fillId="7" borderId="34" xfId="42" applyFont="1" applyFill="1" applyBorder="1" applyAlignment="1" applyProtection="1">
      <alignment horizontal="center" vertical="center" wrapText="1"/>
      <protection locked="0"/>
    </xf>
    <xf numFmtId="0" fontId="2" fillId="0" borderId="3" xfId="62" applyFont="1" applyBorder="1" applyAlignment="1" applyProtection="1">
      <alignment horizontal="center"/>
      <protection locked="0"/>
    </xf>
    <xf numFmtId="0" fontId="2" fillId="0" borderId="29" xfId="62" applyFont="1" applyBorder="1" applyAlignment="1" applyProtection="1">
      <alignment horizontal="center"/>
      <protection locked="0"/>
    </xf>
    <xf numFmtId="0" fontId="7" fillId="8" borderId="3" xfId="42" applyFont="1" applyFill="1" applyBorder="1" applyAlignment="1" applyProtection="1">
      <alignment horizontal="center" vertical="center" wrapText="1"/>
      <protection locked="0"/>
    </xf>
    <xf numFmtId="0" fontId="7" fillId="8" borderId="29" xfId="42" applyFont="1" applyFill="1" applyBorder="1" applyAlignment="1" applyProtection="1">
      <alignment horizontal="center" vertical="center" wrapText="1"/>
      <protection locked="0"/>
    </xf>
    <xf numFmtId="0" fontId="7" fillId="8" borderId="5" xfId="42" applyFont="1" applyFill="1" applyBorder="1" applyAlignment="1" applyProtection="1">
      <alignment horizontal="center" vertical="center" wrapText="1"/>
      <protection locked="0"/>
    </xf>
    <xf numFmtId="0" fontId="7" fillId="8" borderId="31" xfId="42"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9" fillId="0" borderId="0" xfId="0" applyFont="1" applyAlignment="1">
      <alignment horizontal="left"/>
    </xf>
    <xf numFmtId="0" fontId="4" fillId="0" borderId="0" xfId="0" applyFont="1" applyAlignment="1">
      <alignment horizontal="center" vertical="center" wrapText="1"/>
    </xf>
    <xf numFmtId="0" fontId="27" fillId="0" borderId="0" xfId="0" applyFont="1" applyAlignment="1">
      <alignment horizontal="center"/>
    </xf>
    <xf numFmtId="0" fontId="2" fillId="0" borderId="30" xfId="62" applyFont="1" applyFill="1" applyBorder="1" applyAlignment="1" applyProtection="1">
      <alignment horizontal="center" vertical="center" wrapText="1"/>
    </xf>
    <xf numFmtId="0" fontId="2" fillId="0" borderId="32" xfId="62" applyFont="1" applyFill="1" applyBorder="1" applyAlignment="1" applyProtection="1">
      <alignment horizontal="center" vertical="center" wrapText="1"/>
    </xf>
    <xf numFmtId="0" fontId="2" fillId="0" borderId="34" xfId="62" applyFont="1" applyFill="1" applyBorder="1" applyAlignment="1" applyProtection="1">
      <alignment horizontal="center" vertical="center" wrapText="1"/>
    </xf>
    <xf numFmtId="0" fontId="2" fillId="0" borderId="3" xfId="62" applyFont="1" applyFill="1" applyBorder="1" applyAlignment="1" applyProtection="1">
      <alignment horizontal="center"/>
    </xf>
    <xf numFmtId="0" fontId="2" fillId="0" borderId="4" xfId="62" applyFont="1" applyFill="1" applyBorder="1" applyAlignment="1" applyProtection="1">
      <alignment horizontal="center"/>
    </xf>
    <xf numFmtId="0" fontId="2" fillId="0" borderId="29" xfId="62" applyFont="1" applyFill="1" applyBorder="1" applyAlignment="1" applyProtection="1">
      <alignment horizontal="center"/>
    </xf>
  </cellXfs>
  <cellStyles count="7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Komma" xfId="31" builtinId="3"/>
    <cellStyle name="Komma 2" xfId="32"/>
    <cellStyle name="Neutral" xfId="33" builtinId="28" customBuiltin="1"/>
    <cellStyle name="Notiz 2" xfId="34"/>
    <cellStyle name="Prozent" xfId="35" builtinId="5"/>
    <cellStyle name="Prozent 2" xfId="36"/>
    <cellStyle name="Prozent 2 2" xfId="37"/>
    <cellStyle name="Prozent 3" xfId="38"/>
    <cellStyle name="Prozent 4" xfId="39"/>
    <cellStyle name="Prozent 4 2" xfId="40"/>
    <cellStyle name="Schlecht" xfId="41" builtinId="27" customBuiltin="1"/>
    <cellStyle name="Standard" xfId="0" builtinId="0"/>
    <cellStyle name="Standard 2" xfId="42"/>
    <cellStyle name="Standard 2 2" xfId="43"/>
    <cellStyle name="Standard 2 3" xfId="44"/>
    <cellStyle name="Standard 2 3 2" xfId="45"/>
    <cellStyle name="Standard 2 3 2 2" xfId="46"/>
    <cellStyle name="Standard 2 3 2 3" xfId="47"/>
    <cellStyle name="Standard 2 3 2 4" xfId="48"/>
    <cellStyle name="Standard 2 3 2 4 2" xfId="49"/>
    <cellStyle name="Standard 2 3 3" xfId="50"/>
    <cellStyle name="Standard 2 3 4" xfId="51"/>
    <cellStyle name="Standard 2 3 5" xfId="52"/>
    <cellStyle name="Standard 2 4" xfId="53"/>
    <cellStyle name="Standard 2 4 2" xfId="54"/>
    <cellStyle name="Standard 2 4 3" xfId="55"/>
    <cellStyle name="Standard 2 4 4" xfId="56"/>
    <cellStyle name="Standard 2 4 4 2" xfId="57"/>
    <cellStyle name="Standard 2 5" xfId="58"/>
    <cellStyle name="Standard 2 6" xfId="59"/>
    <cellStyle name="Standard 2 7" xfId="60"/>
    <cellStyle name="Standard 2 8" xfId="61"/>
    <cellStyle name="Standard 3" xfId="62"/>
    <cellStyle name="Standard 3 2" xfId="63"/>
    <cellStyle name="Standard 4" xfId="64"/>
    <cellStyle name="Überschrift" xfId="65" builtinId="15" customBuiltin="1"/>
    <cellStyle name="Überschrift 1" xfId="66" builtinId="16" customBuiltin="1"/>
    <cellStyle name="Überschrift 2" xfId="67" builtinId="17" customBuiltin="1"/>
    <cellStyle name="Überschrift 3" xfId="68" builtinId="18" customBuiltin="1"/>
    <cellStyle name="Überschrift 4" xfId="69" builtinId="19" customBuiltin="1"/>
    <cellStyle name="Verknüpfte Zelle" xfId="70" builtinId="24" customBuiltin="1"/>
    <cellStyle name="Warnender Text" xfId="71" builtinId="11" customBuiltin="1"/>
    <cellStyle name="Zelle überprüfen" xfId="72" builtinId="23" customBuiltin="1"/>
  </cellStyles>
  <dxfs count="15">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15" dropStyle="combo" dx="16" fmlaLink="$BL$69" fmlaRange="Tiere!$B$30:$B$79" noThreeD="1" val="0"/>
</file>

<file path=xl/ctrlProps/ctrlProp10.xml><?xml version="1.0" encoding="utf-8"?>
<formControlPr xmlns="http://schemas.microsoft.com/office/spreadsheetml/2009/9/main" objectType="Drop" dropLines="15" dropStyle="combo" dx="16" fmlaLink="$BL$80" fmlaRange="Tiere!$B$30:$B$79" noThreeD="1" val="0"/>
</file>

<file path=xl/ctrlProps/ctrlProp100.xml><?xml version="1.0" encoding="utf-8"?>
<formControlPr xmlns="http://schemas.microsoft.com/office/spreadsheetml/2009/9/main" objectType="CheckBox" checked="Checked" fmlaLink="$AV$115" lockText="1" noThreeD="1"/>
</file>

<file path=xl/ctrlProps/ctrlProp101.xml><?xml version="1.0" encoding="utf-8"?>
<formControlPr xmlns="http://schemas.microsoft.com/office/spreadsheetml/2009/9/main" objectType="Drop" dropLines="35" dropStyle="combo" dx="16" fmlaLink="$AX$119" fmlaRange="Pflanzen!$A$5:$A$98" noThreeD="1" val="0"/>
</file>

<file path=xl/ctrlProps/ctrlProp102.xml><?xml version="1.0" encoding="utf-8"?>
<formControlPr xmlns="http://schemas.microsoft.com/office/spreadsheetml/2009/9/main" objectType="CheckBox" checked="Checked" fmlaLink="$AV$119" lockText="1" noThreeD="1"/>
</file>

<file path=xl/ctrlProps/ctrlProp103.xml><?xml version="1.0" encoding="utf-8"?>
<formControlPr xmlns="http://schemas.microsoft.com/office/spreadsheetml/2009/9/main" objectType="CheckBox" checked="Checked" fmlaLink="$AV$115" lockText="1" noThreeD="1"/>
</file>

<file path=xl/ctrlProps/ctrlProp104.xml><?xml version="1.0" encoding="utf-8"?>
<formControlPr xmlns="http://schemas.microsoft.com/office/spreadsheetml/2009/9/main" objectType="Drop" dropLines="35" dropStyle="combo" dx="16" fmlaLink="$AX$120" fmlaRange="Pflanzen!$A$5:$A$98" noThreeD="1" val="0"/>
</file>

<file path=xl/ctrlProps/ctrlProp105.xml><?xml version="1.0" encoding="utf-8"?>
<formControlPr xmlns="http://schemas.microsoft.com/office/spreadsheetml/2009/9/main" objectType="CheckBox" checked="Checked" fmlaLink="$AV$120" lockText="1" noThreeD="1"/>
</file>

<file path=xl/ctrlProps/ctrlProp106.xml><?xml version="1.0" encoding="utf-8"?>
<formControlPr xmlns="http://schemas.microsoft.com/office/spreadsheetml/2009/9/main" objectType="CheckBox" checked="Checked" fmlaLink="$AV$115" lockText="1" noThreeD="1"/>
</file>

<file path=xl/ctrlProps/ctrlProp107.xml><?xml version="1.0" encoding="utf-8"?>
<formControlPr xmlns="http://schemas.microsoft.com/office/spreadsheetml/2009/9/main" objectType="Drop" dropLines="35" dropStyle="combo" dx="16" fmlaLink="$AX$121" fmlaRange="Pflanzen!$A$5:$A$98" noThreeD="1" val="64"/>
</file>

<file path=xl/ctrlProps/ctrlProp108.xml><?xml version="1.0" encoding="utf-8"?>
<formControlPr xmlns="http://schemas.microsoft.com/office/spreadsheetml/2009/9/main" objectType="CheckBox" checked="Checked" fmlaLink="$AV$121" lockText="1" noThreeD="1"/>
</file>

<file path=xl/ctrlProps/ctrlProp109.xml><?xml version="1.0" encoding="utf-8"?>
<formControlPr xmlns="http://schemas.microsoft.com/office/spreadsheetml/2009/9/main" objectType="CheckBox" checked="Checked" fmlaLink="$AV$115" lockText="1" noThreeD="1"/>
</file>

<file path=xl/ctrlProps/ctrlProp11.xml><?xml version="1.0" encoding="utf-8"?>
<formControlPr xmlns="http://schemas.microsoft.com/office/spreadsheetml/2009/9/main" objectType="Drop" dropLines="15" dropStyle="combo" dx="16" fmlaLink="$BL$81" fmlaRange="Tiere!$B$30:$B$79" noThreeD="1" val="0"/>
</file>

<file path=xl/ctrlProps/ctrlProp110.xml><?xml version="1.0" encoding="utf-8"?>
<formControlPr xmlns="http://schemas.microsoft.com/office/spreadsheetml/2009/9/main" objectType="Drop" dropLines="35" dropStyle="combo" dx="16" fmlaLink="$AX$122" fmlaRange="Pflanzen!$A$5:$A$98" noThreeD="1" val="64"/>
</file>

<file path=xl/ctrlProps/ctrlProp111.xml><?xml version="1.0" encoding="utf-8"?>
<formControlPr xmlns="http://schemas.microsoft.com/office/spreadsheetml/2009/9/main" objectType="CheckBox" checked="Checked" fmlaLink="$AV$122" lockText="1" noThreeD="1"/>
</file>

<file path=xl/ctrlProps/ctrlProp112.xml><?xml version="1.0" encoding="utf-8"?>
<formControlPr xmlns="http://schemas.microsoft.com/office/spreadsheetml/2009/9/main" objectType="CheckBox" checked="Checked" fmlaLink="$AV$115" lockText="1" noThreeD="1"/>
</file>

<file path=xl/ctrlProps/ctrlProp113.xml><?xml version="1.0" encoding="utf-8"?>
<formControlPr xmlns="http://schemas.microsoft.com/office/spreadsheetml/2009/9/main" objectType="Drop" dropLines="35" dropStyle="combo" dx="16" fmlaLink="$AX$123" fmlaRange="Pflanzen!$A$5:$A$98" noThreeD="1" val="64"/>
</file>

<file path=xl/ctrlProps/ctrlProp114.xml><?xml version="1.0" encoding="utf-8"?>
<formControlPr xmlns="http://schemas.microsoft.com/office/spreadsheetml/2009/9/main" objectType="CheckBox" checked="Checked" fmlaLink="$AV$123" lockText="1" noThreeD="1"/>
</file>

<file path=xl/ctrlProps/ctrlProp115.xml><?xml version="1.0" encoding="utf-8"?>
<formControlPr xmlns="http://schemas.microsoft.com/office/spreadsheetml/2009/9/main" objectType="CheckBox" checked="Checked" fmlaLink="$AV$115" lockText="1" noThreeD="1"/>
</file>

<file path=xl/ctrlProps/ctrlProp116.xml><?xml version="1.0" encoding="utf-8"?>
<formControlPr xmlns="http://schemas.microsoft.com/office/spreadsheetml/2009/9/main" objectType="Drop" dropLines="35" dropStyle="combo" dx="16" fmlaLink="$AX$124" fmlaRange="Pflanzen!$A$5:$A$98" noThreeD="1" val="64"/>
</file>

<file path=xl/ctrlProps/ctrlProp117.xml><?xml version="1.0" encoding="utf-8"?>
<formControlPr xmlns="http://schemas.microsoft.com/office/spreadsheetml/2009/9/main" objectType="CheckBox" checked="Checked" fmlaLink="$AV$124" lockText="1" noThreeD="1"/>
</file>

<file path=xl/ctrlProps/ctrlProp118.xml><?xml version="1.0" encoding="utf-8"?>
<formControlPr xmlns="http://schemas.microsoft.com/office/spreadsheetml/2009/9/main" objectType="CheckBox" checked="Checked" fmlaLink="$AV$115" lockText="1" noThreeD="1"/>
</file>

<file path=xl/ctrlProps/ctrlProp119.xml><?xml version="1.0" encoding="utf-8"?>
<formControlPr xmlns="http://schemas.microsoft.com/office/spreadsheetml/2009/9/main" objectType="Drop" dropLines="35" dropStyle="combo" dx="16" fmlaLink="$AX$125" fmlaRange="Pflanzen!$A$5:$A$98" noThreeD="1" val="64"/>
</file>

<file path=xl/ctrlProps/ctrlProp12.xml><?xml version="1.0" encoding="utf-8"?>
<formControlPr xmlns="http://schemas.microsoft.com/office/spreadsheetml/2009/9/main" objectType="Drop" dropStyle="combo" dx="16" fmlaLink="$BM$68" fmlaRange="Stroh!$B$2:$B$4" noThreeD="1" val="0"/>
</file>

<file path=xl/ctrlProps/ctrlProp120.xml><?xml version="1.0" encoding="utf-8"?>
<formControlPr xmlns="http://schemas.microsoft.com/office/spreadsheetml/2009/9/main" objectType="CheckBox" checked="Checked" fmlaLink="$AV$125" lockText="1" noThreeD="1"/>
</file>

<file path=xl/ctrlProps/ctrlProp121.xml><?xml version="1.0" encoding="utf-8"?>
<formControlPr xmlns="http://schemas.microsoft.com/office/spreadsheetml/2009/9/main" objectType="CheckBox" checked="Checked" fmlaLink="$AV$115" lockText="1" noThreeD="1"/>
</file>

<file path=xl/ctrlProps/ctrlProp122.xml><?xml version="1.0" encoding="utf-8"?>
<formControlPr xmlns="http://schemas.microsoft.com/office/spreadsheetml/2009/9/main" objectType="Drop" dropLines="35" dropStyle="combo" dx="16" fmlaLink="$AX$126" fmlaRange="Pflanzen!$A$5:$A$98" noThreeD="1" val="64"/>
</file>

<file path=xl/ctrlProps/ctrlProp123.xml><?xml version="1.0" encoding="utf-8"?>
<formControlPr xmlns="http://schemas.microsoft.com/office/spreadsheetml/2009/9/main" objectType="CheckBox" checked="Checked" fmlaLink="$AV$126" lockText="1" noThreeD="1"/>
</file>

<file path=xl/ctrlProps/ctrlProp124.xml><?xml version="1.0" encoding="utf-8"?>
<formControlPr xmlns="http://schemas.microsoft.com/office/spreadsheetml/2009/9/main" objectType="CheckBox" checked="Checked" fmlaLink="$AV$115" lockText="1" noThreeD="1"/>
</file>

<file path=xl/ctrlProps/ctrlProp125.xml><?xml version="1.0" encoding="utf-8"?>
<formControlPr xmlns="http://schemas.microsoft.com/office/spreadsheetml/2009/9/main" objectType="Drop" dropLines="35" dropStyle="combo" dx="16" fmlaLink="$AX$127" fmlaRange="Pflanzen!$A$5:$A$98" noThreeD="1" val="64"/>
</file>

<file path=xl/ctrlProps/ctrlProp126.xml><?xml version="1.0" encoding="utf-8"?>
<formControlPr xmlns="http://schemas.microsoft.com/office/spreadsheetml/2009/9/main" objectType="CheckBox" checked="Checked" fmlaLink="$AV$127" lockText="1" noThreeD="1"/>
</file>

<file path=xl/ctrlProps/ctrlProp127.xml><?xml version="1.0" encoding="utf-8"?>
<formControlPr xmlns="http://schemas.microsoft.com/office/spreadsheetml/2009/9/main" objectType="CheckBox" checked="Checked" fmlaLink="$AV$115" lockText="1" noThreeD="1"/>
</file>

<file path=xl/ctrlProps/ctrlProp128.xml><?xml version="1.0" encoding="utf-8"?>
<formControlPr xmlns="http://schemas.microsoft.com/office/spreadsheetml/2009/9/main" objectType="Drop" dropLines="35" dropStyle="combo" dx="16" fmlaLink="$AX$128" fmlaRange="Pflanzen!$A$5:$A$98" noThreeD="1" val="64"/>
</file>

<file path=xl/ctrlProps/ctrlProp129.xml><?xml version="1.0" encoding="utf-8"?>
<formControlPr xmlns="http://schemas.microsoft.com/office/spreadsheetml/2009/9/main" objectType="CheckBox" checked="Checked" fmlaLink="$AV$128" lockText="1" noThreeD="1"/>
</file>

<file path=xl/ctrlProps/ctrlProp13.xml><?xml version="1.0" encoding="utf-8"?>
<formControlPr xmlns="http://schemas.microsoft.com/office/spreadsheetml/2009/9/main" objectType="Drop" dropLines="15" dropStyle="combo" dx="16" fmlaLink="$BL$68" fmlaRange="Tiere!$B$30:$B$79" noThreeD="1" val="0"/>
</file>

<file path=xl/ctrlProps/ctrlProp130.xml><?xml version="1.0" encoding="utf-8"?>
<formControlPr xmlns="http://schemas.microsoft.com/office/spreadsheetml/2009/9/main" objectType="CheckBox" checked="Checked" fmlaLink="$AV$115" lockText="1" noThreeD="1"/>
</file>

<file path=xl/ctrlProps/ctrlProp131.xml><?xml version="1.0" encoding="utf-8"?>
<formControlPr xmlns="http://schemas.microsoft.com/office/spreadsheetml/2009/9/main" objectType="Drop" dropLines="35" dropStyle="combo" dx="16" fmlaLink="$AX$129" fmlaRange="Pflanzen!$A$5:$A$98" noThreeD="1" val="0"/>
</file>

<file path=xl/ctrlProps/ctrlProp132.xml><?xml version="1.0" encoding="utf-8"?>
<formControlPr xmlns="http://schemas.microsoft.com/office/spreadsheetml/2009/9/main" objectType="CheckBox" checked="Checked" fmlaLink="$AV$129" lockText="1" noThreeD="1"/>
</file>

<file path=xl/ctrlProps/ctrlProp133.xml><?xml version="1.0" encoding="utf-8"?>
<formControlPr xmlns="http://schemas.microsoft.com/office/spreadsheetml/2009/9/main" objectType="CheckBox" checked="Checked" fmlaLink="$AV$115" lockText="1" noThreeD="1"/>
</file>

<file path=xl/ctrlProps/ctrlProp134.xml><?xml version="1.0" encoding="utf-8"?>
<formControlPr xmlns="http://schemas.microsoft.com/office/spreadsheetml/2009/9/main" objectType="Drop" dropLines="35" dropStyle="combo" dx="16" fmlaLink="$AX$130" fmlaRange="Pflanzen!$A$5:$A$98" noThreeD="1" val="0"/>
</file>

<file path=xl/ctrlProps/ctrlProp135.xml><?xml version="1.0" encoding="utf-8"?>
<formControlPr xmlns="http://schemas.microsoft.com/office/spreadsheetml/2009/9/main" objectType="CheckBox" checked="Checked" fmlaLink="$AV$130" lockText="1" noThreeD="1"/>
</file>

<file path=xl/ctrlProps/ctrlProp136.xml><?xml version="1.0" encoding="utf-8"?>
<formControlPr xmlns="http://schemas.microsoft.com/office/spreadsheetml/2009/9/main" objectType="Drop" dropLines="5" dropStyle="combo" dx="16" fmlaLink="$AW$138" fmlaRange="Tiere!$D$91:$D$95" noThreeD="1" val="0"/>
</file>

<file path=xl/ctrlProps/ctrlProp137.xml><?xml version="1.0" encoding="utf-8"?>
<formControlPr xmlns="http://schemas.microsoft.com/office/spreadsheetml/2009/9/main" objectType="CheckBox" checked="Checked" fmlaLink="$AV$138" lockText="1" noThreeD="1"/>
</file>

<file path=xl/ctrlProps/ctrlProp138.xml><?xml version="1.0" encoding="utf-8"?>
<formControlPr xmlns="http://schemas.microsoft.com/office/spreadsheetml/2009/9/main" objectType="Drop" dropLines="5" dropStyle="combo" dx="16" fmlaLink="$AW$139" fmlaRange="Tiere!$D$91:$D$95" noThreeD="1" val="0"/>
</file>

<file path=xl/ctrlProps/ctrlProp139.xml><?xml version="1.0" encoding="utf-8"?>
<formControlPr xmlns="http://schemas.microsoft.com/office/spreadsheetml/2009/9/main" objectType="CheckBox" checked="Checked" fmlaLink="$AV$139" lockText="1" noThreeD="1"/>
</file>

<file path=xl/ctrlProps/ctrlProp14.xml><?xml version="1.0" encoding="utf-8"?>
<formControlPr xmlns="http://schemas.microsoft.com/office/spreadsheetml/2009/9/main" objectType="Drop" dropStyle="combo" dx="16" fmlaLink="$BM$69" fmlaRange="Stroh!$B$2:$B$4" noThreeD="1" val="0"/>
</file>

<file path=xl/ctrlProps/ctrlProp140.xml><?xml version="1.0" encoding="utf-8"?>
<formControlPr xmlns="http://schemas.microsoft.com/office/spreadsheetml/2009/9/main" objectType="Drop" dropLines="5" dropStyle="combo" dx="16" fmlaLink="$AW$140" fmlaRange="Tiere!$D$91:$D$95" noThreeD="1" val="0"/>
</file>

<file path=xl/ctrlProps/ctrlProp141.xml><?xml version="1.0" encoding="utf-8"?>
<formControlPr xmlns="http://schemas.microsoft.com/office/spreadsheetml/2009/9/main" objectType="CheckBox" checked="Checked" fmlaLink="$AV$140" lockText="1" noThreeD="1"/>
</file>

<file path=xl/ctrlProps/ctrlProp142.xml><?xml version="1.0" encoding="utf-8"?>
<formControlPr xmlns="http://schemas.microsoft.com/office/spreadsheetml/2009/9/main" objectType="Drop" dropLines="5" dropStyle="combo" dx="16" fmlaLink="$AW$141" fmlaRange="Tiere!$D$91:$D$95" noThreeD="1" val="0"/>
</file>

<file path=xl/ctrlProps/ctrlProp143.xml><?xml version="1.0" encoding="utf-8"?>
<formControlPr xmlns="http://schemas.microsoft.com/office/spreadsheetml/2009/9/main" objectType="CheckBox" checked="Checked" fmlaLink="$AV$141" lockText="1" noThreeD="1"/>
</file>

<file path=xl/ctrlProps/ctrlProp144.xml><?xml version="1.0" encoding="utf-8"?>
<formControlPr xmlns="http://schemas.microsoft.com/office/spreadsheetml/2009/9/main" objectType="Drop" dropLines="5" dropStyle="combo" dx="16" fmlaLink="$AW$142" fmlaRange="Tiere!$D$91:$D$95" noThreeD="1" val="0"/>
</file>

<file path=xl/ctrlProps/ctrlProp145.xml><?xml version="1.0" encoding="utf-8"?>
<formControlPr xmlns="http://schemas.microsoft.com/office/spreadsheetml/2009/9/main" objectType="CheckBox" checked="Checked" fmlaLink="$AV$142" lockText="1" noThreeD="1"/>
</file>

<file path=xl/ctrlProps/ctrlProp146.xml><?xml version="1.0" encoding="utf-8"?>
<formControlPr xmlns="http://schemas.microsoft.com/office/spreadsheetml/2009/9/main" objectType="Drop" dropLines="5" dropStyle="combo" dx="16" fmlaLink="$AW$143" fmlaRange="Tiere!$D$91:$D$95" noThreeD="1" val="0"/>
</file>

<file path=xl/ctrlProps/ctrlProp147.xml><?xml version="1.0" encoding="utf-8"?>
<formControlPr xmlns="http://schemas.microsoft.com/office/spreadsheetml/2009/9/main" objectType="CheckBox" checked="Checked" fmlaLink="$AV$143" lockText="1" noThreeD="1"/>
</file>

<file path=xl/ctrlProps/ctrlProp148.xml><?xml version="1.0" encoding="utf-8"?>
<formControlPr xmlns="http://schemas.microsoft.com/office/spreadsheetml/2009/9/main" objectType="Drop" dropLines="5" dropStyle="combo" dx="16" fmlaLink="$AW$144" fmlaRange="Tiere!$D$91:$D$95" noThreeD="1" val="0"/>
</file>

<file path=xl/ctrlProps/ctrlProp149.xml><?xml version="1.0" encoding="utf-8"?>
<formControlPr xmlns="http://schemas.microsoft.com/office/spreadsheetml/2009/9/main" objectType="CheckBox" checked="Checked" fmlaLink="$AV$144" lockText="1" noThreeD="1"/>
</file>

<file path=xl/ctrlProps/ctrlProp15.xml><?xml version="1.0" encoding="utf-8"?>
<formControlPr xmlns="http://schemas.microsoft.com/office/spreadsheetml/2009/9/main" objectType="Drop" dropStyle="combo" dx="16" fmlaLink="$BM$70" fmlaRange="Stroh!$B$2:$B$4" noThreeD="1" val="0"/>
</file>

<file path=xl/ctrlProps/ctrlProp150.xml><?xml version="1.0" encoding="utf-8"?>
<formControlPr xmlns="http://schemas.microsoft.com/office/spreadsheetml/2009/9/main" objectType="Drop" dropLines="5" dropStyle="combo" dx="16" fmlaLink="$AW$145" fmlaRange="Tiere!$D$91:$D$95" noThreeD="1" val="0"/>
</file>

<file path=xl/ctrlProps/ctrlProp151.xml><?xml version="1.0" encoding="utf-8"?>
<formControlPr xmlns="http://schemas.microsoft.com/office/spreadsheetml/2009/9/main" objectType="CheckBox" checked="Checked" fmlaLink="$AV$145" lockText="1" noThreeD="1"/>
</file>

<file path=xl/ctrlProps/ctrlProp152.xml><?xml version="1.0" encoding="utf-8"?>
<formControlPr xmlns="http://schemas.microsoft.com/office/spreadsheetml/2009/9/main" objectType="Drop" dropLines="5" dropStyle="combo" dx="16" fmlaLink="$AW$146" fmlaRange="Tiere!$D$91:$D$95" noThreeD="1" val="0"/>
</file>

<file path=xl/ctrlProps/ctrlProp153.xml><?xml version="1.0" encoding="utf-8"?>
<formControlPr xmlns="http://schemas.microsoft.com/office/spreadsheetml/2009/9/main" objectType="CheckBox" checked="Checked" fmlaLink="$AV$146" lockText="1" noThreeD="1"/>
</file>

<file path=xl/ctrlProps/ctrlProp154.xml><?xml version="1.0" encoding="utf-8"?>
<formControlPr xmlns="http://schemas.microsoft.com/office/spreadsheetml/2009/9/main" objectType="Drop" dropLines="5" dropStyle="combo" dx="16" fmlaLink="$AW$147" fmlaRange="Tiere!$D$91:$D$95" noThreeD="1" val="0"/>
</file>

<file path=xl/ctrlProps/ctrlProp155.xml><?xml version="1.0" encoding="utf-8"?>
<formControlPr xmlns="http://schemas.microsoft.com/office/spreadsheetml/2009/9/main" objectType="CheckBox" checked="Checked" fmlaLink="$AV$147" lockText="1" noThreeD="1"/>
</file>

<file path=xl/ctrlProps/ctrlProp156.xml><?xml version="1.0" encoding="utf-8"?>
<formControlPr xmlns="http://schemas.microsoft.com/office/spreadsheetml/2009/9/main" objectType="Drop" dropLines="5" dropStyle="combo" dx="16" fmlaLink="$AW$148" fmlaRange="Tiere!$D$91:$D$95" noThreeD="1" val="0"/>
</file>

<file path=xl/ctrlProps/ctrlProp157.xml><?xml version="1.0" encoding="utf-8"?>
<formControlPr xmlns="http://schemas.microsoft.com/office/spreadsheetml/2009/9/main" objectType="CheckBox" checked="Checked" fmlaLink="$AV$148" lockText="1" noThreeD="1"/>
</file>

<file path=xl/ctrlProps/ctrlProp158.xml><?xml version="1.0" encoding="utf-8"?>
<formControlPr xmlns="http://schemas.microsoft.com/office/spreadsheetml/2009/9/main" objectType="Drop" dropLines="5" dropStyle="combo" dx="16" fmlaLink="$AW$149" fmlaRange="Tiere!$D$91:$D$95" noThreeD="1" val="0"/>
</file>

<file path=xl/ctrlProps/ctrlProp159.xml><?xml version="1.0" encoding="utf-8"?>
<formControlPr xmlns="http://schemas.microsoft.com/office/spreadsheetml/2009/9/main" objectType="CheckBox" checked="Checked" fmlaLink="$AV$149" lockText="1" noThreeD="1"/>
</file>

<file path=xl/ctrlProps/ctrlProp16.xml><?xml version="1.0" encoding="utf-8"?>
<formControlPr xmlns="http://schemas.microsoft.com/office/spreadsheetml/2009/9/main" objectType="Drop" dropStyle="combo" dx="16" fmlaLink="$BM$71" fmlaRange="Stroh!$B$2:$B$4" noThreeD="1" val="0"/>
</file>

<file path=xl/ctrlProps/ctrlProp160.xml><?xml version="1.0" encoding="utf-8"?>
<formControlPr xmlns="http://schemas.microsoft.com/office/spreadsheetml/2009/9/main" objectType="Drop" dropLines="5" dropStyle="combo" dx="16" fmlaLink="$AW$150" fmlaRange="Tiere!$D$91:$D$95" noThreeD="1" val="0"/>
</file>

<file path=xl/ctrlProps/ctrlProp161.xml><?xml version="1.0" encoding="utf-8"?>
<formControlPr xmlns="http://schemas.microsoft.com/office/spreadsheetml/2009/9/main" objectType="CheckBox" checked="Checked" fmlaLink="$AV$150" lockText="1" noThreeD="1"/>
</file>

<file path=xl/ctrlProps/ctrlProp162.xml><?xml version="1.0" encoding="utf-8"?>
<formControlPr xmlns="http://schemas.microsoft.com/office/spreadsheetml/2009/9/main" objectType="Drop" dropLines="5" dropStyle="combo" dx="16" fmlaLink="$AW$151" fmlaRange="Tiere!$D$91:$D$95" noThreeD="1" val="0"/>
</file>

<file path=xl/ctrlProps/ctrlProp163.xml><?xml version="1.0" encoding="utf-8"?>
<formControlPr xmlns="http://schemas.microsoft.com/office/spreadsheetml/2009/9/main" objectType="CheckBox" checked="Checked" fmlaLink="$AV$151" lockText="1" noThreeD="1"/>
</file>

<file path=xl/ctrlProps/ctrlProp164.xml><?xml version="1.0" encoding="utf-8"?>
<formControlPr xmlns="http://schemas.microsoft.com/office/spreadsheetml/2009/9/main" objectType="Drop" dropLines="5" dropStyle="combo" dx="16" fmlaLink="$AW$152" fmlaRange="Tiere!$D$91:$D$95" noThreeD="1" val="0"/>
</file>

<file path=xl/ctrlProps/ctrlProp165.xml><?xml version="1.0" encoding="utf-8"?>
<formControlPr xmlns="http://schemas.microsoft.com/office/spreadsheetml/2009/9/main" objectType="CheckBox" checked="Checked" fmlaLink="$AV$152" lockText="1" noThreeD="1"/>
</file>

<file path=xl/ctrlProps/ctrlProp166.xml><?xml version="1.0" encoding="utf-8"?>
<formControlPr xmlns="http://schemas.microsoft.com/office/spreadsheetml/2009/9/main" objectType="Drop" dropLines="5" dropStyle="combo" dx="16" fmlaLink="$AW$153" fmlaRange="Tiere!$D$91:$D$95" noThreeD="1" val="0"/>
</file>

<file path=xl/ctrlProps/ctrlProp167.xml><?xml version="1.0" encoding="utf-8"?>
<formControlPr xmlns="http://schemas.microsoft.com/office/spreadsheetml/2009/9/main" objectType="CheckBox" checked="Checked" fmlaLink="$AV$153" lockText="1" noThreeD="1"/>
</file>

<file path=xl/ctrlProps/ctrlProp168.xml><?xml version="1.0" encoding="utf-8"?>
<formControlPr xmlns="http://schemas.microsoft.com/office/spreadsheetml/2009/9/main" objectType="Drop" dropLines="5" dropStyle="combo" dx="16" fmlaLink="$AW$154" fmlaRange="Tiere!$D$91:$D$95" noThreeD="1" val="0"/>
</file>

<file path=xl/ctrlProps/ctrlProp169.xml><?xml version="1.0" encoding="utf-8"?>
<formControlPr xmlns="http://schemas.microsoft.com/office/spreadsheetml/2009/9/main" objectType="CheckBox" checked="Checked" fmlaLink="$AV$154" lockText="1" noThreeD="1"/>
</file>

<file path=xl/ctrlProps/ctrlProp17.xml><?xml version="1.0" encoding="utf-8"?>
<formControlPr xmlns="http://schemas.microsoft.com/office/spreadsheetml/2009/9/main" objectType="Drop" dropStyle="combo" dx="16" fmlaLink="$BM$72" fmlaRange="Stroh!$B$2:$B$4" noThreeD="1" val="0"/>
</file>

<file path=xl/ctrlProps/ctrlProp170.xml><?xml version="1.0" encoding="utf-8"?>
<formControlPr xmlns="http://schemas.microsoft.com/office/spreadsheetml/2009/9/main" objectType="Drop" dropLines="5" dropStyle="combo" dx="16" fmlaLink="$AW$155" fmlaRange="Tiere!$D$91:$D$95" noThreeD="1" val="0"/>
</file>

<file path=xl/ctrlProps/ctrlProp171.xml><?xml version="1.0" encoding="utf-8"?>
<formControlPr xmlns="http://schemas.microsoft.com/office/spreadsheetml/2009/9/main" objectType="CheckBox" checked="Checked" fmlaLink="$AV$155" lockText="1" noThreeD="1"/>
</file>

<file path=xl/ctrlProps/ctrlProp172.xml><?xml version="1.0" encoding="utf-8"?>
<formControlPr xmlns="http://schemas.microsoft.com/office/spreadsheetml/2009/9/main" objectType="CheckBox" fmlaLink="$P$307" lockText="1" noThreeD="1"/>
</file>

<file path=xl/ctrlProps/ctrlProp173.xml><?xml version="1.0" encoding="utf-8"?>
<formControlPr xmlns="http://schemas.microsoft.com/office/spreadsheetml/2009/9/main" objectType="CheckBox" fmlaLink="$P$307" lockText="1" noThreeD="1"/>
</file>

<file path=xl/ctrlProps/ctrlProp174.xml><?xml version="1.0" encoding="utf-8"?>
<formControlPr xmlns="http://schemas.microsoft.com/office/spreadsheetml/2009/9/main" objectType="CheckBox" fmlaLink="$P$308" lockText="1" noThreeD="1"/>
</file>

<file path=xl/ctrlProps/ctrlProp175.xml><?xml version="1.0" encoding="utf-8"?>
<formControlPr xmlns="http://schemas.microsoft.com/office/spreadsheetml/2009/9/main" objectType="CheckBox" fmlaLink="$P$307" lockText="1" noThreeD="1"/>
</file>

<file path=xl/ctrlProps/ctrlProp176.xml><?xml version="1.0" encoding="utf-8"?>
<formControlPr xmlns="http://schemas.microsoft.com/office/spreadsheetml/2009/9/main" objectType="CheckBox" fmlaLink="$P$306" lockText="1" noThreeD="1"/>
</file>

<file path=xl/ctrlProps/ctrlProp177.xml><?xml version="1.0" encoding="utf-8"?>
<formControlPr xmlns="http://schemas.microsoft.com/office/spreadsheetml/2009/9/main" objectType="CheckBox" fmlaLink="$P$309" lockText="1" noThreeD="1"/>
</file>

<file path=xl/ctrlProps/ctrlProp178.xml><?xml version="1.0" encoding="utf-8"?>
<formControlPr xmlns="http://schemas.microsoft.com/office/spreadsheetml/2009/9/main" objectType="CheckBox" fmlaLink="$P$307" lockText="1" noThreeD="1"/>
</file>

<file path=xl/ctrlProps/ctrlProp179.xml><?xml version="1.0" encoding="utf-8"?>
<formControlPr xmlns="http://schemas.microsoft.com/office/spreadsheetml/2009/9/main" objectType="CheckBox" fmlaLink="$P$306" lockText="1" noThreeD="1"/>
</file>

<file path=xl/ctrlProps/ctrlProp18.xml><?xml version="1.0" encoding="utf-8"?>
<formControlPr xmlns="http://schemas.microsoft.com/office/spreadsheetml/2009/9/main" objectType="Drop" dropStyle="combo" dx="16" fmlaLink="$BM$73" fmlaRange="Stroh!$B$2:$B$4" noThreeD="1" val="0"/>
</file>

<file path=xl/ctrlProps/ctrlProp180.xml><?xml version="1.0" encoding="utf-8"?>
<formControlPr xmlns="http://schemas.microsoft.com/office/spreadsheetml/2009/9/main" objectType="CheckBox" fmlaLink="$P$310" lockText="1" noThreeD="1"/>
</file>

<file path=xl/ctrlProps/ctrlProp181.xml><?xml version="1.0" encoding="utf-8"?>
<formControlPr xmlns="http://schemas.microsoft.com/office/spreadsheetml/2009/9/main" objectType="CheckBox" fmlaLink="$P$307" lockText="1" noThreeD="1"/>
</file>

<file path=xl/ctrlProps/ctrlProp182.xml><?xml version="1.0" encoding="utf-8"?>
<formControlPr xmlns="http://schemas.microsoft.com/office/spreadsheetml/2009/9/main" objectType="CheckBox" fmlaLink="$P$306" lockText="1" noThreeD="1"/>
</file>

<file path=xl/ctrlProps/ctrlProp183.xml><?xml version="1.0" encoding="utf-8"?>
<formControlPr xmlns="http://schemas.microsoft.com/office/spreadsheetml/2009/9/main" objectType="CheckBox" fmlaLink="$P$311" lockText="1" noThreeD="1"/>
</file>

<file path=xl/ctrlProps/ctrlProp184.xml><?xml version="1.0" encoding="utf-8"?>
<formControlPr xmlns="http://schemas.microsoft.com/office/spreadsheetml/2009/9/main" objectType="CheckBox" fmlaLink="$P$307" lockText="1" noThreeD="1"/>
</file>

<file path=xl/ctrlProps/ctrlProp185.xml><?xml version="1.0" encoding="utf-8"?>
<formControlPr xmlns="http://schemas.microsoft.com/office/spreadsheetml/2009/9/main" objectType="CheckBox" fmlaLink="$P$306" lockText="1" noThreeD="1"/>
</file>

<file path=xl/ctrlProps/ctrlProp186.xml><?xml version="1.0" encoding="utf-8"?>
<formControlPr xmlns="http://schemas.microsoft.com/office/spreadsheetml/2009/9/main" objectType="CheckBox" fmlaLink="$P$312" lockText="1" noThreeD="1"/>
</file>

<file path=xl/ctrlProps/ctrlProp187.xml><?xml version="1.0" encoding="utf-8"?>
<formControlPr xmlns="http://schemas.microsoft.com/office/spreadsheetml/2009/9/main" objectType="CheckBox" fmlaLink="$P$307" lockText="1" noThreeD="1"/>
</file>

<file path=xl/ctrlProps/ctrlProp188.xml><?xml version="1.0" encoding="utf-8"?>
<formControlPr xmlns="http://schemas.microsoft.com/office/spreadsheetml/2009/9/main" objectType="CheckBox" fmlaLink="$P$306" lockText="1" noThreeD="1"/>
</file>

<file path=xl/ctrlProps/ctrlProp189.xml><?xml version="1.0" encoding="utf-8"?>
<formControlPr xmlns="http://schemas.microsoft.com/office/spreadsheetml/2009/9/main" objectType="CheckBox" fmlaLink="$P$313" lockText="1" noThreeD="1"/>
</file>

<file path=xl/ctrlProps/ctrlProp19.xml><?xml version="1.0" encoding="utf-8"?>
<formControlPr xmlns="http://schemas.microsoft.com/office/spreadsheetml/2009/9/main" objectType="Drop" dropStyle="combo" dx="16" fmlaLink="$BM$74" fmlaRange="Stroh!$B$2:$B$4" noThreeD="1" val="0"/>
</file>

<file path=xl/ctrlProps/ctrlProp190.xml><?xml version="1.0" encoding="utf-8"?>
<formControlPr xmlns="http://schemas.microsoft.com/office/spreadsheetml/2009/9/main" objectType="CheckBox" fmlaLink="$P$307" lockText="1" noThreeD="1"/>
</file>

<file path=xl/ctrlProps/ctrlProp191.xml><?xml version="1.0" encoding="utf-8"?>
<formControlPr xmlns="http://schemas.microsoft.com/office/spreadsheetml/2009/9/main" objectType="CheckBox" fmlaLink="$P$306" lockText="1" noThreeD="1"/>
</file>

<file path=xl/ctrlProps/ctrlProp192.xml><?xml version="1.0" encoding="utf-8"?>
<formControlPr xmlns="http://schemas.microsoft.com/office/spreadsheetml/2009/9/main" objectType="CheckBox" fmlaLink="$P$314" lockText="1" noThreeD="1"/>
</file>

<file path=xl/ctrlProps/ctrlProp193.xml><?xml version="1.0" encoding="utf-8"?>
<formControlPr xmlns="http://schemas.microsoft.com/office/spreadsheetml/2009/9/main" objectType="CheckBox" fmlaLink="$P$307" lockText="1" noThreeD="1"/>
</file>

<file path=xl/ctrlProps/ctrlProp194.xml><?xml version="1.0" encoding="utf-8"?>
<formControlPr xmlns="http://schemas.microsoft.com/office/spreadsheetml/2009/9/main" objectType="CheckBox" fmlaLink="$P$306" lockText="1" noThreeD="1"/>
</file>

<file path=xl/ctrlProps/ctrlProp195.xml><?xml version="1.0" encoding="utf-8"?>
<formControlPr xmlns="http://schemas.microsoft.com/office/spreadsheetml/2009/9/main" objectType="CheckBox" fmlaLink="$P$315" lockText="1" noThreeD="1"/>
</file>

<file path=xl/ctrlProps/ctrlProp196.xml><?xml version="1.0" encoding="utf-8"?>
<formControlPr xmlns="http://schemas.microsoft.com/office/spreadsheetml/2009/9/main" objectType="CheckBox" fmlaLink="$P$307" lockText="1" noThreeD="1"/>
</file>

<file path=xl/ctrlProps/ctrlProp197.xml><?xml version="1.0" encoding="utf-8"?>
<formControlPr xmlns="http://schemas.microsoft.com/office/spreadsheetml/2009/9/main" objectType="CheckBox" fmlaLink="$P$306" lockText="1" noThreeD="1"/>
</file>

<file path=xl/ctrlProps/ctrlProp198.xml><?xml version="1.0" encoding="utf-8"?>
<formControlPr xmlns="http://schemas.microsoft.com/office/spreadsheetml/2009/9/main" objectType="CheckBox" fmlaLink="$P$316" lockText="1" noThreeD="1"/>
</file>

<file path=xl/ctrlProps/ctrlProp199.xml><?xml version="1.0" encoding="utf-8"?>
<formControlPr xmlns="http://schemas.microsoft.com/office/spreadsheetml/2009/9/main" objectType="CheckBox" fmlaLink="$P$307" lockText="1" noThreeD="1"/>
</file>

<file path=xl/ctrlProps/ctrlProp2.xml><?xml version="1.0" encoding="utf-8"?>
<formControlPr xmlns="http://schemas.microsoft.com/office/spreadsheetml/2009/9/main" objectType="Drop" dropLines="15" dropStyle="combo" dx="16" fmlaLink="$BL$70" fmlaRange="Tiere!$B$30:$B$79" noThreeD="1" val="0"/>
</file>

<file path=xl/ctrlProps/ctrlProp20.xml><?xml version="1.0" encoding="utf-8"?>
<formControlPr xmlns="http://schemas.microsoft.com/office/spreadsheetml/2009/9/main" objectType="Drop" dropStyle="combo" dx="16" fmlaLink="$BM$75" fmlaRange="Stroh!$B$2:$B$4" noThreeD="1" val="0"/>
</file>

<file path=xl/ctrlProps/ctrlProp200.xml><?xml version="1.0" encoding="utf-8"?>
<formControlPr xmlns="http://schemas.microsoft.com/office/spreadsheetml/2009/9/main" objectType="CheckBox" fmlaLink="$P$306" lockText="1" noThreeD="1"/>
</file>

<file path=xl/ctrlProps/ctrlProp201.xml><?xml version="1.0" encoding="utf-8"?>
<formControlPr xmlns="http://schemas.microsoft.com/office/spreadsheetml/2009/9/main" objectType="CheckBox" fmlaLink="$P$317" lockText="1" noThreeD="1"/>
</file>

<file path=xl/ctrlProps/ctrlProp202.xml><?xml version="1.0" encoding="utf-8"?>
<formControlPr xmlns="http://schemas.microsoft.com/office/spreadsheetml/2009/9/main" objectType="CheckBox" fmlaLink="$P$307" lockText="1" noThreeD="1"/>
</file>

<file path=xl/ctrlProps/ctrlProp203.xml><?xml version="1.0" encoding="utf-8"?>
<formControlPr xmlns="http://schemas.microsoft.com/office/spreadsheetml/2009/9/main" objectType="CheckBox" fmlaLink="$P$306" lockText="1" noThreeD="1"/>
</file>

<file path=xl/ctrlProps/ctrlProp204.xml><?xml version="1.0" encoding="utf-8"?>
<formControlPr xmlns="http://schemas.microsoft.com/office/spreadsheetml/2009/9/main" objectType="CheckBox" fmlaLink="$P$318" lockText="1" noThreeD="1"/>
</file>

<file path=xl/ctrlProps/ctrlProp205.xml><?xml version="1.0" encoding="utf-8"?>
<formControlPr xmlns="http://schemas.microsoft.com/office/spreadsheetml/2009/9/main" objectType="CheckBox" fmlaLink="$P$307" lockText="1" noThreeD="1"/>
</file>

<file path=xl/ctrlProps/ctrlProp206.xml><?xml version="1.0" encoding="utf-8"?>
<formControlPr xmlns="http://schemas.microsoft.com/office/spreadsheetml/2009/9/main" objectType="CheckBox" fmlaLink="$P$306" lockText="1" noThreeD="1"/>
</file>

<file path=xl/ctrlProps/ctrlProp207.xml><?xml version="1.0" encoding="utf-8"?>
<formControlPr xmlns="http://schemas.microsoft.com/office/spreadsheetml/2009/9/main" objectType="CheckBox" fmlaLink="$P$319" lockText="1" noThreeD="1"/>
</file>

<file path=xl/ctrlProps/ctrlProp208.xml><?xml version="1.0" encoding="utf-8"?>
<formControlPr xmlns="http://schemas.microsoft.com/office/spreadsheetml/2009/9/main" objectType="CheckBox" fmlaLink="$P$307" lockText="1" noThreeD="1"/>
</file>

<file path=xl/ctrlProps/ctrlProp209.xml><?xml version="1.0" encoding="utf-8"?>
<formControlPr xmlns="http://schemas.microsoft.com/office/spreadsheetml/2009/9/main" objectType="CheckBox" fmlaLink="$P$306" lockText="1" noThreeD="1"/>
</file>

<file path=xl/ctrlProps/ctrlProp21.xml><?xml version="1.0" encoding="utf-8"?>
<formControlPr xmlns="http://schemas.microsoft.com/office/spreadsheetml/2009/9/main" objectType="Drop" dropStyle="combo" dx="16" fmlaLink="$BM$76" fmlaRange="Stroh!$B$2:$B$4" noThreeD="1" val="0"/>
</file>

<file path=xl/ctrlProps/ctrlProp210.xml><?xml version="1.0" encoding="utf-8"?>
<formControlPr xmlns="http://schemas.microsoft.com/office/spreadsheetml/2009/9/main" objectType="CheckBox" fmlaLink="$P$320" lockText="1" noThreeD="1"/>
</file>

<file path=xl/ctrlProps/ctrlProp211.xml><?xml version="1.0" encoding="utf-8"?>
<formControlPr xmlns="http://schemas.microsoft.com/office/spreadsheetml/2009/9/main" objectType="CheckBox" fmlaLink="$P$307" lockText="1" noThreeD="1"/>
</file>

<file path=xl/ctrlProps/ctrlProp212.xml><?xml version="1.0" encoding="utf-8"?>
<formControlPr xmlns="http://schemas.microsoft.com/office/spreadsheetml/2009/9/main" objectType="CheckBox" fmlaLink="$P$306" lockText="1" noThreeD="1"/>
</file>

<file path=xl/ctrlProps/ctrlProp213.xml><?xml version="1.0" encoding="utf-8"?>
<formControlPr xmlns="http://schemas.microsoft.com/office/spreadsheetml/2009/9/main" objectType="CheckBox" fmlaLink="$P$321" lockText="1" noThreeD="1"/>
</file>

<file path=xl/ctrlProps/ctrlProp214.xml><?xml version="1.0" encoding="utf-8"?>
<formControlPr xmlns="http://schemas.microsoft.com/office/spreadsheetml/2009/9/main" objectType="CheckBox" fmlaLink="$P$307" lockText="1" noThreeD="1"/>
</file>

<file path=xl/ctrlProps/ctrlProp215.xml><?xml version="1.0" encoding="utf-8"?>
<formControlPr xmlns="http://schemas.microsoft.com/office/spreadsheetml/2009/9/main" objectType="CheckBox" fmlaLink="$P$306" lockText="1" noThreeD="1"/>
</file>

<file path=xl/ctrlProps/ctrlProp216.xml><?xml version="1.0" encoding="utf-8"?>
<formControlPr xmlns="http://schemas.microsoft.com/office/spreadsheetml/2009/9/main" objectType="CheckBox" fmlaLink="$P$322" lockText="1" noThreeD="1"/>
</file>

<file path=xl/ctrlProps/ctrlProp217.xml><?xml version="1.0" encoding="utf-8"?>
<formControlPr xmlns="http://schemas.microsoft.com/office/spreadsheetml/2009/9/main" objectType="CheckBox" fmlaLink="$P$307" lockText="1" noThreeD="1"/>
</file>

<file path=xl/ctrlProps/ctrlProp218.xml><?xml version="1.0" encoding="utf-8"?>
<formControlPr xmlns="http://schemas.microsoft.com/office/spreadsheetml/2009/9/main" objectType="CheckBox" fmlaLink="$P$306" lockText="1" noThreeD="1"/>
</file>

<file path=xl/ctrlProps/ctrlProp219.xml><?xml version="1.0" encoding="utf-8"?>
<formControlPr xmlns="http://schemas.microsoft.com/office/spreadsheetml/2009/9/main" objectType="CheckBox" fmlaLink="$P$323" lockText="1" noThreeD="1"/>
</file>

<file path=xl/ctrlProps/ctrlProp22.xml><?xml version="1.0" encoding="utf-8"?>
<formControlPr xmlns="http://schemas.microsoft.com/office/spreadsheetml/2009/9/main" objectType="Drop" dropStyle="combo" dx="16" fmlaLink="$BM$79" fmlaRange="Stroh!$B$2:$B$4" noThreeD="1" val="0"/>
</file>

<file path=xl/ctrlProps/ctrlProp220.xml><?xml version="1.0" encoding="utf-8"?>
<formControlPr xmlns="http://schemas.microsoft.com/office/spreadsheetml/2009/9/main" objectType="CheckBox" fmlaLink="$P$307" lockText="1" noThreeD="1"/>
</file>

<file path=xl/ctrlProps/ctrlProp221.xml><?xml version="1.0" encoding="utf-8"?>
<formControlPr xmlns="http://schemas.microsoft.com/office/spreadsheetml/2009/9/main" objectType="CheckBox" fmlaLink="$P$306" lockText="1" noThreeD="1"/>
</file>

<file path=xl/ctrlProps/ctrlProp222.xml><?xml version="1.0" encoding="utf-8"?>
<formControlPr xmlns="http://schemas.microsoft.com/office/spreadsheetml/2009/9/main" objectType="CheckBox" fmlaLink="$P$324" lockText="1" noThreeD="1"/>
</file>

<file path=xl/ctrlProps/ctrlProp223.xml><?xml version="1.0" encoding="utf-8"?>
<formControlPr xmlns="http://schemas.microsoft.com/office/spreadsheetml/2009/9/main" objectType="CheckBox" fmlaLink="$P$307" lockText="1" noThreeD="1"/>
</file>

<file path=xl/ctrlProps/ctrlProp224.xml><?xml version="1.0" encoding="utf-8"?>
<formControlPr xmlns="http://schemas.microsoft.com/office/spreadsheetml/2009/9/main" objectType="CheckBox" fmlaLink="$P$306" lockText="1" noThreeD="1"/>
</file>

<file path=xl/ctrlProps/ctrlProp225.xml><?xml version="1.0" encoding="utf-8"?>
<formControlPr xmlns="http://schemas.microsoft.com/office/spreadsheetml/2009/9/main" objectType="CheckBox" fmlaLink="$P$325" lockText="1" noThreeD="1"/>
</file>

<file path=xl/ctrlProps/ctrlProp226.xml><?xml version="1.0" encoding="utf-8"?>
<formControlPr xmlns="http://schemas.microsoft.com/office/spreadsheetml/2009/9/main" objectType="CheckBox" fmlaLink="$P$307" lockText="1" noThreeD="1"/>
</file>

<file path=xl/ctrlProps/ctrlProp227.xml><?xml version="1.0" encoding="utf-8"?>
<formControlPr xmlns="http://schemas.microsoft.com/office/spreadsheetml/2009/9/main" objectType="CheckBox" fmlaLink="$P$306" lockText="1" noThreeD="1"/>
</file>

<file path=xl/ctrlProps/ctrlProp228.xml><?xml version="1.0" encoding="utf-8"?>
<formControlPr xmlns="http://schemas.microsoft.com/office/spreadsheetml/2009/9/main" objectType="CheckBox" fmlaLink="$P$326" lockText="1" noThreeD="1"/>
</file>

<file path=xl/ctrlProps/ctrlProp229.xml><?xml version="1.0" encoding="utf-8"?>
<formControlPr xmlns="http://schemas.microsoft.com/office/spreadsheetml/2009/9/main" objectType="CheckBox" fmlaLink="$P$307" lockText="1" noThreeD="1"/>
</file>

<file path=xl/ctrlProps/ctrlProp23.xml><?xml version="1.0" encoding="utf-8"?>
<formControlPr xmlns="http://schemas.microsoft.com/office/spreadsheetml/2009/9/main" objectType="Drop" dropStyle="combo" dx="16" fmlaLink="$BM$80" fmlaRange="Stroh!$B$2:$B$4" noThreeD="1" val="0"/>
</file>

<file path=xl/ctrlProps/ctrlProp230.xml><?xml version="1.0" encoding="utf-8"?>
<formControlPr xmlns="http://schemas.microsoft.com/office/spreadsheetml/2009/9/main" objectType="CheckBox" fmlaLink="$P$306" lockText="1" noThreeD="1"/>
</file>

<file path=xl/ctrlProps/ctrlProp231.xml><?xml version="1.0" encoding="utf-8"?>
<formControlPr xmlns="http://schemas.microsoft.com/office/spreadsheetml/2009/9/main" objectType="CheckBox" fmlaLink="$P$327" lockText="1" noThreeD="1"/>
</file>

<file path=xl/ctrlProps/ctrlProp232.xml><?xml version="1.0" encoding="utf-8"?>
<formControlPr xmlns="http://schemas.microsoft.com/office/spreadsheetml/2009/9/main" objectType="CheckBox" fmlaLink="$P$307" lockText="1" noThreeD="1"/>
</file>

<file path=xl/ctrlProps/ctrlProp233.xml><?xml version="1.0" encoding="utf-8"?>
<formControlPr xmlns="http://schemas.microsoft.com/office/spreadsheetml/2009/9/main" objectType="CheckBox" fmlaLink="$P$306" lockText="1" noThreeD="1"/>
</file>

<file path=xl/ctrlProps/ctrlProp234.xml><?xml version="1.0" encoding="utf-8"?>
<formControlPr xmlns="http://schemas.microsoft.com/office/spreadsheetml/2009/9/main" objectType="CheckBox" fmlaLink="$P$328" lockText="1" noThreeD="1"/>
</file>

<file path=xl/ctrlProps/ctrlProp235.xml><?xml version="1.0" encoding="utf-8"?>
<formControlPr xmlns="http://schemas.microsoft.com/office/spreadsheetml/2009/9/main" objectType="CheckBox" fmlaLink="$P$307" lockText="1" noThreeD="1"/>
</file>

<file path=xl/ctrlProps/ctrlProp236.xml><?xml version="1.0" encoding="utf-8"?>
<formControlPr xmlns="http://schemas.microsoft.com/office/spreadsheetml/2009/9/main" objectType="CheckBox" fmlaLink="$P$306" lockText="1" noThreeD="1"/>
</file>

<file path=xl/ctrlProps/ctrlProp237.xml><?xml version="1.0" encoding="utf-8"?>
<formControlPr xmlns="http://schemas.microsoft.com/office/spreadsheetml/2009/9/main" objectType="CheckBox" fmlaLink="$P$329" lockText="1" noThreeD="1"/>
</file>

<file path=xl/ctrlProps/ctrlProp238.xml><?xml version="1.0" encoding="utf-8"?>
<formControlPr xmlns="http://schemas.microsoft.com/office/spreadsheetml/2009/9/main" objectType="CheckBox" fmlaLink="$P$307" lockText="1" noThreeD="1"/>
</file>

<file path=xl/ctrlProps/ctrlProp239.xml><?xml version="1.0" encoding="utf-8"?>
<formControlPr xmlns="http://schemas.microsoft.com/office/spreadsheetml/2009/9/main" objectType="CheckBox" fmlaLink="$P$306" lockText="1" noThreeD="1"/>
</file>

<file path=xl/ctrlProps/ctrlProp24.xml><?xml version="1.0" encoding="utf-8"?>
<formControlPr xmlns="http://schemas.microsoft.com/office/spreadsheetml/2009/9/main" objectType="Drop" dropStyle="combo" dx="16" fmlaLink="$BM$81" fmlaRange="Stroh!$B$2:$B$4" noThreeD="1" val="0"/>
</file>

<file path=xl/ctrlProps/ctrlProp240.xml><?xml version="1.0" encoding="utf-8"?>
<formControlPr xmlns="http://schemas.microsoft.com/office/spreadsheetml/2009/9/main" objectType="CheckBox" fmlaLink="$P$330" lockText="1" noThreeD="1"/>
</file>

<file path=xl/ctrlProps/ctrlProp241.xml><?xml version="1.0" encoding="utf-8"?>
<formControlPr xmlns="http://schemas.microsoft.com/office/spreadsheetml/2009/9/main" objectType="CheckBox" fmlaLink="$P$307" lockText="1" noThreeD="1"/>
</file>

<file path=xl/ctrlProps/ctrlProp242.xml><?xml version="1.0" encoding="utf-8"?>
<formControlPr xmlns="http://schemas.microsoft.com/office/spreadsheetml/2009/9/main" objectType="CheckBox" fmlaLink="$P$306" lockText="1" noThreeD="1"/>
</file>

<file path=xl/ctrlProps/ctrlProp243.xml><?xml version="1.0" encoding="utf-8"?>
<formControlPr xmlns="http://schemas.microsoft.com/office/spreadsheetml/2009/9/main" objectType="CheckBox" fmlaLink="$P$331" lockText="1" noThreeD="1"/>
</file>

<file path=xl/ctrlProps/ctrlProp244.xml><?xml version="1.0" encoding="utf-8"?>
<formControlPr xmlns="http://schemas.microsoft.com/office/spreadsheetml/2009/9/main" objectType="CheckBox" fmlaLink="$P$307" lockText="1" noThreeD="1"/>
</file>

<file path=xl/ctrlProps/ctrlProp245.xml><?xml version="1.0" encoding="utf-8"?>
<formControlPr xmlns="http://schemas.microsoft.com/office/spreadsheetml/2009/9/main" objectType="CheckBox" fmlaLink="$P$306" lockText="1" noThreeD="1"/>
</file>

<file path=xl/ctrlProps/ctrlProp246.xml><?xml version="1.0" encoding="utf-8"?>
<formControlPr xmlns="http://schemas.microsoft.com/office/spreadsheetml/2009/9/main" objectType="CheckBox" fmlaLink="$P$332" lockText="1" noThreeD="1"/>
</file>

<file path=xl/ctrlProps/ctrlProp247.xml><?xml version="1.0" encoding="utf-8"?>
<formControlPr xmlns="http://schemas.microsoft.com/office/spreadsheetml/2009/9/main" objectType="CheckBox" fmlaLink="$P$307" lockText="1" noThreeD="1"/>
</file>

<file path=xl/ctrlProps/ctrlProp248.xml><?xml version="1.0" encoding="utf-8"?>
<formControlPr xmlns="http://schemas.microsoft.com/office/spreadsheetml/2009/9/main" objectType="CheckBox" fmlaLink="$P$306" lockText="1" noThreeD="1"/>
</file>

<file path=xl/ctrlProps/ctrlProp249.xml><?xml version="1.0" encoding="utf-8"?>
<formControlPr xmlns="http://schemas.microsoft.com/office/spreadsheetml/2009/9/main" objectType="CheckBox" fmlaLink="$P$333" lockText="1" noThreeD="1"/>
</file>

<file path=xl/ctrlProps/ctrlProp25.xml><?xml version="1.0" encoding="utf-8"?>
<formControlPr xmlns="http://schemas.microsoft.com/office/spreadsheetml/2009/9/main" objectType="Drop" dropStyle="combo" dx="16" fmlaLink="$BM$83" fmlaRange="Stroh!$B$2:$B$4" noThreeD="1" val="0"/>
</file>

<file path=xl/ctrlProps/ctrlProp250.xml><?xml version="1.0" encoding="utf-8"?>
<formControlPr xmlns="http://schemas.microsoft.com/office/spreadsheetml/2009/9/main" objectType="CheckBox" fmlaLink="$P$307" lockText="1" noThreeD="1"/>
</file>

<file path=xl/ctrlProps/ctrlProp251.xml><?xml version="1.0" encoding="utf-8"?>
<formControlPr xmlns="http://schemas.microsoft.com/office/spreadsheetml/2009/9/main" objectType="CheckBox" fmlaLink="$P$334" lockText="1" noThreeD="1"/>
</file>

<file path=xl/ctrlProps/ctrlProp252.xml><?xml version="1.0" encoding="utf-8"?>
<formControlPr xmlns="http://schemas.microsoft.com/office/spreadsheetml/2009/9/main" objectType="Drop" dropLines="3" dropStyle="combo" dx="16" fmlaLink="$AD$305" fmlaRange="'org Dünger'!$B$38:$B$40" noThreeD="1" val="0"/>
</file>

<file path=xl/ctrlProps/ctrlProp253.xml><?xml version="1.0" encoding="utf-8"?>
<formControlPr xmlns="http://schemas.microsoft.com/office/spreadsheetml/2009/9/main" objectType="Drop" dropLines="3" dropStyle="combo" dx="16" fmlaLink="$AD$306" fmlaRange="'org Dünger'!$B$38:$B$40" noThreeD="1" val="0"/>
</file>

<file path=xl/ctrlProps/ctrlProp254.xml><?xml version="1.0" encoding="utf-8"?>
<formControlPr xmlns="http://schemas.microsoft.com/office/spreadsheetml/2009/9/main" objectType="Drop" dropLines="3" dropStyle="combo" dx="16" fmlaLink="$AD$307" fmlaRange="'org Dünger'!$B$38:$B$40" noThreeD="1" val="0"/>
</file>

<file path=xl/ctrlProps/ctrlProp255.xml><?xml version="1.0" encoding="utf-8"?>
<formControlPr xmlns="http://schemas.microsoft.com/office/spreadsheetml/2009/9/main" objectType="Drop" dropLines="3" dropStyle="combo" dx="16" fmlaLink="$AD$308" fmlaRange="'org Dünger'!$B$38:$B$40" noThreeD="1" val="0"/>
</file>

<file path=xl/ctrlProps/ctrlProp256.xml><?xml version="1.0" encoding="utf-8"?>
<formControlPr xmlns="http://schemas.microsoft.com/office/spreadsheetml/2009/9/main" objectType="Drop" dropLines="3" dropStyle="combo" dx="16" fmlaLink="$AD$309" fmlaRange="'org Dünger'!$B$38:$B$40" noThreeD="1" val="0"/>
</file>

<file path=xl/ctrlProps/ctrlProp257.xml><?xml version="1.0" encoding="utf-8"?>
<formControlPr xmlns="http://schemas.microsoft.com/office/spreadsheetml/2009/9/main" objectType="Drop" dropLines="3" dropStyle="combo" dx="16" fmlaLink="$AD$310" fmlaRange="'org Dünger'!$B$38:$B$40" noThreeD="1" val="0"/>
</file>

<file path=xl/ctrlProps/ctrlProp258.xml><?xml version="1.0" encoding="utf-8"?>
<formControlPr xmlns="http://schemas.microsoft.com/office/spreadsheetml/2009/9/main" objectType="Drop" dropLines="3" dropStyle="combo" dx="16" fmlaLink="$AD$311" fmlaRange="'org Dünger'!$B$38:$B$40" noThreeD="1" val="0"/>
</file>

<file path=xl/ctrlProps/ctrlProp259.xml><?xml version="1.0" encoding="utf-8"?>
<formControlPr xmlns="http://schemas.microsoft.com/office/spreadsheetml/2009/9/main" objectType="Drop" dropLines="3" dropStyle="combo" dx="16" fmlaLink="$AD$312" fmlaRange="'org Dünger'!$B$38:$B$40" noThreeD="1" val="0"/>
</file>

<file path=xl/ctrlProps/ctrlProp26.xml><?xml version="1.0" encoding="utf-8"?>
<formControlPr xmlns="http://schemas.microsoft.com/office/spreadsheetml/2009/9/main" objectType="Drop" dropStyle="combo" dx="16" fmlaLink="$BM$86" fmlaRange="Stroh!$B$2:$B$4" noThreeD="1" val="0"/>
</file>

<file path=xl/ctrlProps/ctrlProp260.xml><?xml version="1.0" encoding="utf-8"?>
<formControlPr xmlns="http://schemas.microsoft.com/office/spreadsheetml/2009/9/main" objectType="Drop" dropLines="3" dropStyle="combo" dx="16" fmlaLink="$AD$313" fmlaRange="'org Dünger'!$B$38:$B$40" noThreeD="1" val="0"/>
</file>

<file path=xl/ctrlProps/ctrlProp261.xml><?xml version="1.0" encoding="utf-8"?>
<formControlPr xmlns="http://schemas.microsoft.com/office/spreadsheetml/2009/9/main" objectType="Drop" dropLines="3" dropStyle="combo" dx="16" fmlaLink="$AD$314" fmlaRange="'org Dünger'!$B$38:$B$40" noThreeD="1" val="0"/>
</file>

<file path=xl/ctrlProps/ctrlProp262.xml><?xml version="1.0" encoding="utf-8"?>
<formControlPr xmlns="http://schemas.microsoft.com/office/spreadsheetml/2009/9/main" objectType="Drop" dropLines="3" dropStyle="combo" dx="16" fmlaLink="$AD$315" fmlaRange="'org Dünger'!$B$38:$B$40" noThreeD="1" val="0"/>
</file>

<file path=xl/ctrlProps/ctrlProp263.xml><?xml version="1.0" encoding="utf-8"?>
<formControlPr xmlns="http://schemas.microsoft.com/office/spreadsheetml/2009/9/main" objectType="Drop" dropLines="3" dropStyle="combo" dx="16" fmlaLink="$AD$316" fmlaRange="'org Dünger'!$B$38:$B$40" noThreeD="1" val="0"/>
</file>

<file path=xl/ctrlProps/ctrlProp264.xml><?xml version="1.0" encoding="utf-8"?>
<formControlPr xmlns="http://schemas.microsoft.com/office/spreadsheetml/2009/9/main" objectType="Drop" dropLines="3" dropStyle="combo" dx="16" fmlaLink="$AD$317" fmlaRange="'org Dünger'!$B$38:$B$40" noThreeD="1" val="0"/>
</file>

<file path=xl/ctrlProps/ctrlProp265.xml><?xml version="1.0" encoding="utf-8"?>
<formControlPr xmlns="http://schemas.microsoft.com/office/spreadsheetml/2009/9/main" objectType="Drop" dropLines="3" dropStyle="combo" dx="16" fmlaLink="$AD$318" fmlaRange="'org Dünger'!$B$38:$B$40" noThreeD="1" val="0"/>
</file>

<file path=xl/ctrlProps/ctrlProp266.xml><?xml version="1.0" encoding="utf-8"?>
<formControlPr xmlns="http://schemas.microsoft.com/office/spreadsheetml/2009/9/main" objectType="Drop" dropLines="3" dropStyle="combo" dx="16" fmlaLink="$AD$319" fmlaRange="'org Dünger'!$B$38:$B$40" noThreeD="1" val="0"/>
</file>

<file path=xl/ctrlProps/ctrlProp267.xml><?xml version="1.0" encoding="utf-8"?>
<formControlPr xmlns="http://schemas.microsoft.com/office/spreadsheetml/2009/9/main" objectType="Drop" dropLines="3" dropStyle="combo" dx="16" fmlaLink="$AD$320" fmlaRange="'org Dünger'!$B$38:$B$40" noThreeD="1" val="0"/>
</file>

<file path=xl/ctrlProps/ctrlProp268.xml><?xml version="1.0" encoding="utf-8"?>
<formControlPr xmlns="http://schemas.microsoft.com/office/spreadsheetml/2009/9/main" objectType="Drop" dropLines="3" dropStyle="combo" dx="16" fmlaLink="$AD$321" fmlaRange="'org Dünger'!$B$38:$B$40" noThreeD="1" val="0"/>
</file>

<file path=xl/ctrlProps/ctrlProp269.xml><?xml version="1.0" encoding="utf-8"?>
<formControlPr xmlns="http://schemas.microsoft.com/office/spreadsheetml/2009/9/main" objectType="Drop" dropLines="3" dropStyle="combo" dx="16" fmlaLink="$AD$322" fmlaRange="'org Dünger'!$B$38:$B$40" noThreeD="1" val="0"/>
</file>

<file path=xl/ctrlProps/ctrlProp27.xml><?xml version="1.0" encoding="utf-8"?>
<formControlPr xmlns="http://schemas.microsoft.com/office/spreadsheetml/2009/9/main" objectType="Drop" dropStyle="combo" dx="16" fmlaLink="$BM$87" fmlaRange="Stroh!$B$2:$B$4" noThreeD="1" val="0"/>
</file>

<file path=xl/ctrlProps/ctrlProp270.xml><?xml version="1.0" encoding="utf-8"?>
<formControlPr xmlns="http://schemas.microsoft.com/office/spreadsheetml/2009/9/main" objectType="Drop" dropLines="3" dropStyle="combo" dx="16" fmlaLink="$AD$323" fmlaRange="'org Dünger'!$B$38:$B$40" noThreeD="1" val="0"/>
</file>

<file path=xl/ctrlProps/ctrlProp271.xml><?xml version="1.0" encoding="utf-8"?>
<formControlPr xmlns="http://schemas.microsoft.com/office/spreadsheetml/2009/9/main" objectType="Drop" dropLines="3" dropStyle="combo" dx="16" fmlaLink="$AD$324" fmlaRange="'org Dünger'!$B$38:$B$40" noThreeD="1" val="0"/>
</file>

<file path=xl/ctrlProps/ctrlProp272.xml><?xml version="1.0" encoding="utf-8"?>
<formControlPr xmlns="http://schemas.microsoft.com/office/spreadsheetml/2009/9/main" objectType="Drop" dropLines="3" dropStyle="combo" dx="16" fmlaLink="$AD$325" fmlaRange="'org Dünger'!$B$38:$B$40" noThreeD="1" val="0"/>
</file>

<file path=xl/ctrlProps/ctrlProp273.xml><?xml version="1.0" encoding="utf-8"?>
<formControlPr xmlns="http://schemas.microsoft.com/office/spreadsheetml/2009/9/main" objectType="Drop" dropLines="3" dropStyle="combo" dx="16" fmlaLink="$AD$326" fmlaRange="'org Dünger'!$B$38:$B$40" noThreeD="1" val="0"/>
</file>

<file path=xl/ctrlProps/ctrlProp274.xml><?xml version="1.0" encoding="utf-8"?>
<formControlPr xmlns="http://schemas.microsoft.com/office/spreadsheetml/2009/9/main" objectType="Drop" dropLines="3" dropStyle="combo" dx="16" fmlaLink="$AD$327" fmlaRange="'org Dünger'!$B$38:$B$40" noThreeD="1" val="0"/>
</file>

<file path=xl/ctrlProps/ctrlProp275.xml><?xml version="1.0" encoding="utf-8"?>
<formControlPr xmlns="http://schemas.microsoft.com/office/spreadsheetml/2009/9/main" objectType="Drop" dropLines="3" dropStyle="combo" dx="16" fmlaLink="$AD$328" fmlaRange="'org Dünger'!$B$38:$B$40" noThreeD="1" val="0"/>
</file>

<file path=xl/ctrlProps/ctrlProp276.xml><?xml version="1.0" encoding="utf-8"?>
<formControlPr xmlns="http://schemas.microsoft.com/office/spreadsheetml/2009/9/main" objectType="Drop" dropLines="3" dropStyle="combo" dx="16" fmlaLink="$AD$329" fmlaRange="'org Dünger'!$B$38:$B$40" noThreeD="1" val="0"/>
</file>

<file path=xl/ctrlProps/ctrlProp277.xml><?xml version="1.0" encoding="utf-8"?>
<formControlPr xmlns="http://schemas.microsoft.com/office/spreadsheetml/2009/9/main" objectType="Drop" dropLines="3" dropStyle="combo" dx="16" fmlaLink="$AD$330" fmlaRange="'org Dünger'!$B$38:$B$40" noThreeD="1" val="0"/>
</file>

<file path=xl/ctrlProps/ctrlProp278.xml><?xml version="1.0" encoding="utf-8"?>
<formControlPr xmlns="http://schemas.microsoft.com/office/spreadsheetml/2009/9/main" objectType="Drop" dropLines="3" dropStyle="combo" dx="16" fmlaLink="$AD$331" fmlaRange="'org Dünger'!$B$38:$B$40" noThreeD="1" val="0"/>
</file>

<file path=xl/ctrlProps/ctrlProp279.xml><?xml version="1.0" encoding="utf-8"?>
<formControlPr xmlns="http://schemas.microsoft.com/office/spreadsheetml/2009/9/main" objectType="Drop" dropLines="3" dropStyle="combo" dx="16" fmlaLink="$AD$332" fmlaRange="'org Dünger'!$B$38:$B$40" noThreeD="1" val="0"/>
</file>

<file path=xl/ctrlProps/ctrlProp28.xml><?xml version="1.0" encoding="utf-8"?>
<formControlPr xmlns="http://schemas.microsoft.com/office/spreadsheetml/2009/9/main" objectType="Drop" dropLines="3" dropStyle="combo" dx="16" fmlaLink="$X$263" fmlaRange="$U$262:$U$264" noThreeD="1" val="0"/>
</file>

<file path=xl/ctrlProps/ctrlProp280.xml><?xml version="1.0" encoding="utf-8"?>
<formControlPr xmlns="http://schemas.microsoft.com/office/spreadsheetml/2009/9/main" objectType="Drop" dropLines="3" dropStyle="combo" dx="16" fmlaLink="$AD$333" fmlaRange="'org Dünger'!$B$38:$B$40" noThreeD="1" val="0"/>
</file>

<file path=xl/ctrlProps/ctrlProp281.xml><?xml version="1.0" encoding="utf-8"?>
<formControlPr xmlns="http://schemas.microsoft.com/office/spreadsheetml/2009/9/main" objectType="Drop" dropLines="3" dropStyle="combo" dx="16" fmlaLink="$AD$334" fmlaRange="'org Dünger'!$B$38:$B$40" noThreeD="1" val="0"/>
</file>

<file path=xl/ctrlProps/ctrlProp282.xml><?xml version="1.0" encoding="utf-8"?>
<formControlPr xmlns="http://schemas.microsoft.com/office/spreadsheetml/2009/9/main" objectType="Drop" dropLines="3" dropStyle="combo" dx="16" fmlaLink="$X$5" fmlaRange="$W$5:$W$7" noThreeD="1" val="0"/>
</file>

<file path=xl/ctrlProps/ctrlProp283.xml><?xml version="1.0" encoding="utf-8"?>
<formControlPr xmlns="http://schemas.microsoft.com/office/spreadsheetml/2009/9/main" objectType="Drop" dropLines="5" dropStyle="combo" dx="16" fmlaLink="'Abweichende Werte'!$AB$7" fmlaRange="Tiere!$D$83:$D$87" noThreeD="1" val="0"/>
</file>

<file path=xl/ctrlProps/ctrlProp284.xml><?xml version="1.0" encoding="utf-8"?>
<formControlPr xmlns="http://schemas.microsoft.com/office/spreadsheetml/2009/9/main" objectType="Drop" dropLines="5" dropStyle="combo" dx="16" fmlaLink="$AB$8" fmlaRange="Tiere!$D$83:$D$87" noThreeD="1" val="0"/>
</file>

<file path=xl/ctrlProps/ctrlProp285.xml><?xml version="1.0" encoding="utf-8"?>
<formControlPr xmlns="http://schemas.microsoft.com/office/spreadsheetml/2009/9/main" objectType="Drop" dropStyle="combo" dx="16" fmlaLink="'Abweichende Werte'!$AB$9" fmlaRange="Tiere!$D$83:$D$87" noThreeD="1" val="0"/>
</file>

<file path=xl/ctrlProps/ctrlProp286.xml><?xml version="1.0" encoding="utf-8"?>
<formControlPr xmlns="http://schemas.microsoft.com/office/spreadsheetml/2009/9/main" objectType="Drop" dropStyle="combo" dx="16" fmlaLink="'Abweichende Werte'!$AB$10" fmlaRange="Tiere!$D$83:$D$87" noThreeD="1" val="0"/>
</file>

<file path=xl/ctrlProps/ctrlProp287.xml><?xml version="1.0" encoding="utf-8"?>
<formControlPr xmlns="http://schemas.microsoft.com/office/spreadsheetml/2009/9/main" objectType="Drop" dropStyle="combo" dx="16" fmlaLink="'Abweichende Werte'!$AB$11" fmlaRange="Tiere!$D$83:$D$87" noThreeD="1" val="0"/>
</file>

<file path=xl/ctrlProps/ctrlProp29.xml><?xml version="1.0" encoding="utf-8"?>
<formControlPr xmlns="http://schemas.microsoft.com/office/spreadsheetml/2009/9/main" objectType="Drop" dropLines="3" dropStyle="combo" dx="16" fmlaLink="$X$264" fmlaRange="$U$262:$U$264" noThreeD="1" val="0"/>
</file>

<file path=xl/ctrlProps/ctrlProp3.xml><?xml version="1.0" encoding="utf-8"?>
<formControlPr xmlns="http://schemas.microsoft.com/office/spreadsheetml/2009/9/main" objectType="Drop" dropLines="15" dropStyle="combo" dx="16" fmlaLink="$BL$71" fmlaRange="Tiere!$B$30:$B$79" noThreeD="1" val="0"/>
</file>

<file path=xl/ctrlProps/ctrlProp30.xml><?xml version="1.0" encoding="utf-8"?>
<formControlPr xmlns="http://schemas.microsoft.com/office/spreadsheetml/2009/9/main" objectType="Drop" dropLines="3" dropStyle="combo" dx="16" fmlaLink="$X$265" fmlaRange="$U$262:$U$264" noThreeD="1" val="0"/>
</file>

<file path=xl/ctrlProps/ctrlProp31.xml><?xml version="1.0" encoding="utf-8"?>
<formControlPr xmlns="http://schemas.microsoft.com/office/spreadsheetml/2009/9/main" objectType="Drop" dropLines="3" dropStyle="combo" dx="16" fmlaLink="$X$266" fmlaRange="$U$262:$U$264" noThreeD="1" val="0"/>
</file>

<file path=xl/ctrlProps/ctrlProp32.xml><?xml version="1.0" encoding="utf-8"?>
<formControlPr xmlns="http://schemas.microsoft.com/office/spreadsheetml/2009/9/main" objectType="Drop" dropLines="3" dropStyle="combo" dx="16" fmlaLink="$X$274" fmlaRange="$U$274:$U$276" noThreeD="1" sel="3" val="0"/>
</file>

<file path=xl/ctrlProps/ctrlProp33.xml><?xml version="1.0" encoding="utf-8"?>
<formControlPr xmlns="http://schemas.microsoft.com/office/spreadsheetml/2009/9/main" objectType="Drop" dropLines="3" dropStyle="combo" dx="16" fmlaLink="$X$275" fmlaRange="$U$274:$U$276" noThreeD="1" sel="3" val="0"/>
</file>

<file path=xl/ctrlProps/ctrlProp34.xml><?xml version="1.0" encoding="utf-8"?>
<formControlPr xmlns="http://schemas.microsoft.com/office/spreadsheetml/2009/9/main" objectType="Drop" dropLines="3" dropStyle="combo" dx="16" fmlaLink="$X$276" fmlaRange="$U$274:$U$276" noThreeD="1" sel="3" val="0"/>
</file>

<file path=xl/ctrlProps/ctrlProp35.xml><?xml version="1.0" encoding="utf-8"?>
<formControlPr xmlns="http://schemas.microsoft.com/office/spreadsheetml/2009/9/main" objectType="Drop" dropLines="3" dropStyle="combo" dx="16" fmlaLink="$X$278" fmlaRange="$U$274:$U$276" noThreeD="1" sel="3" val="0"/>
</file>

<file path=xl/ctrlProps/ctrlProp36.xml><?xml version="1.0" encoding="utf-8"?>
<formControlPr xmlns="http://schemas.microsoft.com/office/spreadsheetml/2009/9/main" objectType="Drop" dropStyle="combo" dx="16" fmlaLink="$Z$13:$Z$14" fmlaRange="$AA$13:$AA$14" noThreeD="1" val="0"/>
</file>

<file path=xl/ctrlProps/ctrlProp37.xml><?xml version="1.0" encoding="utf-8"?>
<formControlPr xmlns="http://schemas.microsoft.com/office/spreadsheetml/2009/9/main" objectType="Drop" dropLines="35" dropStyle="combo" dx="16" fmlaLink="$AX$113" fmlaRange="Pflanzen!$A$5:$A$98" noThreeD="1" val="0"/>
</file>

<file path=xl/ctrlProps/ctrlProp38.xml><?xml version="1.0" encoding="utf-8"?>
<formControlPr xmlns="http://schemas.microsoft.com/office/spreadsheetml/2009/9/main" objectType="Drop" dropLines="5" dropStyle="combo" dx="16" fmlaLink="$AW$137" fmlaRange="Tiere!$D$91:$D$95" noThreeD="1" val="0"/>
</file>

<file path=xl/ctrlProps/ctrlProp39.xml><?xml version="1.0" encoding="utf-8"?>
<formControlPr xmlns="http://schemas.microsoft.com/office/spreadsheetml/2009/9/main" objectType="CheckBox" checked="Checked" fmlaLink="$AV$113" lockText="1" noThreeD="1"/>
</file>

<file path=xl/ctrlProps/ctrlProp4.xml><?xml version="1.0" encoding="utf-8"?>
<formControlPr xmlns="http://schemas.microsoft.com/office/spreadsheetml/2009/9/main" objectType="Drop" dropLines="15" dropStyle="combo" dx="16" fmlaLink="$BL$72" fmlaRange="Tiere!$B$30:$B$79" noThreeD="1" val="0"/>
</file>

<file path=xl/ctrlProps/ctrlProp40.xml><?xml version="1.0" encoding="utf-8"?>
<formControlPr xmlns="http://schemas.microsoft.com/office/spreadsheetml/2009/9/main" objectType="CheckBox" checked="Checked" fmlaLink="$AV$137" lockText="1" noThreeD="1"/>
</file>

<file path=xl/ctrlProps/ctrlProp41.xml><?xml version="1.0" encoding="utf-8"?>
<formControlPr xmlns="http://schemas.microsoft.com/office/spreadsheetml/2009/9/main" objectType="CheckBox" fmlaLink="$P$305" lockText="1" noThreeD="1"/>
</file>

<file path=xl/ctrlProps/ctrlProp42.xml><?xml version="1.0" encoding="utf-8"?>
<formControlPr xmlns="http://schemas.microsoft.com/office/spreadsheetml/2009/9/main" objectType="CheckBox" fmlaLink="$DJ$68" lockText="1" noThreeD="1"/>
</file>

<file path=xl/ctrlProps/ctrlProp43.xml><?xml version="1.0" encoding="utf-8"?>
<formControlPr xmlns="http://schemas.microsoft.com/office/spreadsheetml/2009/9/main" objectType="CheckBox" fmlaLink="$DJ$71" lockText="1" noThreeD="1"/>
</file>

<file path=xl/ctrlProps/ctrlProp44.xml><?xml version="1.0" encoding="utf-8"?>
<formControlPr xmlns="http://schemas.microsoft.com/office/spreadsheetml/2009/9/main" objectType="CheckBox" fmlaLink="$DJ$74" lockText="1" noThreeD="1"/>
</file>

<file path=xl/ctrlProps/ctrlProp45.xml><?xml version="1.0" encoding="utf-8"?>
<formControlPr xmlns="http://schemas.microsoft.com/office/spreadsheetml/2009/9/main" objectType="CheckBox" fmlaLink="$DJ$72" lockText="1" noThreeD="1"/>
</file>

<file path=xl/ctrlProps/ctrlProp46.xml><?xml version="1.0" encoding="utf-8"?>
<formControlPr xmlns="http://schemas.microsoft.com/office/spreadsheetml/2009/9/main" objectType="CheckBox" fmlaLink="$DJ$73" lockText="1" noThreeD="1"/>
</file>

<file path=xl/ctrlProps/ctrlProp47.xml><?xml version="1.0" encoding="utf-8"?>
<formControlPr xmlns="http://schemas.microsoft.com/office/spreadsheetml/2009/9/main" objectType="CheckBox" fmlaLink="$DJ$75" lockText="1" noThreeD="1"/>
</file>

<file path=xl/ctrlProps/ctrlProp48.xml><?xml version="1.0" encoding="utf-8"?>
<formControlPr xmlns="http://schemas.microsoft.com/office/spreadsheetml/2009/9/main" objectType="CheckBox" fmlaLink="$DJ$76" lockText="1" noThreeD="1"/>
</file>

<file path=xl/ctrlProps/ctrlProp49.xml><?xml version="1.0" encoding="utf-8"?>
<formControlPr xmlns="http://schemas.microsoft.com/office/spreadsheetml/2009/9/main" objectType="CheckBox" fmlaLink="$DJ$79" lockText="1" noThreeD="1"/>
</file>

<file path=xl/ctrlProps/ctrlProp5.xml><?xml version="1.0" encoding="utf-8"?>
<formControlPr xmlns="http://schemas.microsoft.com/office/spreadsheetml/2009/9/main" objectType="Drop" dropLines="15" dropStyle="combo" dx="16" fmlaLink="$BL$73" fmlaRange="Tiere!$B$30:$B$79" noThreeD="1" val="0"/>
</file>

<file path=xl/ctrlProps/ctrlProp50.xml><?xml version="1.0" encoding="utf-8"?>
<formControlPr xmlns="http://schemas.microsoft.com/office/spreadsheetml/2009/9/main" objectType="CheckBox" fmlaLink="$DJ$80" lockText="1" noThreeD="1"/>
</file>

<file path=xl/ctrlProps/ctrlProp51.xml><?xml version="1.0" encoding="utf-8"?>
<formControlPr xmlns="http://schemas.microsoft.com/office/spreadsheetml/2009/9/main" objectType="CheckBox" fmlaLink="$DJ$81" lockText="1" noThreeD="1"/>
</file>

<file path=xl/ctrlProps/ctrlProp52.xml><?xml version="1.0" encoding="utf-8"?>
<formControlPr xmlns="http://schemas.microsoft.com/office/spreadsheetml/2009/9/main" objectType="CheckBox" fmlaLink="$DJ$83" lockText="1" noThreeD="1"/>
</file>

<file path=xl/ctrlProps/ctrlProp53.xml><?xml version="1.0" encoding="utf-8"?>
<formControlPr xmlns="http://schemas.microsoft.com/office/spreadsheetml/2009/9/main" objectType="CheckBox" fmlaLink="$DJ$86" lockText="1" noThreeD="1"/>
</file>

<file path=xl/ctrlProps/ctrlProp54.xml><?xml version="1.0" encoding="utf-8"?>
<formControlPr xmlns="http://schemas.microsoft.com/office/spreadsheetml/2009/9/main" objectType="CheckBox" fmlaLink="$DJ$87" lockText="1" noThreeD="1"/>
</file>

<file path=xl/ctrlProps/ctrlProp55.xml><?xml version="1.0" encoding="utf-8"?>
<formControlPr xmlns="http://schemas.microsoft.com/office/spreadsheetml/2009/9/main" objectType="CheckBox" fmlaLink="$DJ$69" lockText="1" noThreeD="1"/>
</file>

<file path=xl/ctrlProps/ctrlProp56.xml><?xml version="1.0" encoding="utf-8"?>
<formControlPr xmlns="http://schemas.microsoft.com/office/spreadsheetml/2009/9/main" objectType="CheckBox" fmlaLink="$DJ$70" lockText="1" noThreeD="1"/>
</file>

<file path=xl/ctrlProps/ctrlProp57.xml><?xml version="1.0" encoding="utf-8"?>
<formControlPr xmlns="http://schemas.microsoft.com/office/spreadsheetml/2009/9/main" objectType="Drop" dropLines="2" dropStyle="combo" dx="16" fmlaLink="$Y$164" fmlaRange="Stroh!$B$9:$B$10" noThreeD="1" sel="2" val="0"/>
</file>

<file path=xl/ctrlProps/ctrlProp58.xml><?xml version="1.0" encoding="utf-8"?>
<formControlPr xmlns="http://schemas.microsoft.com/office/spreadsheetml/2009/9/main" objectType="CheckBox" fmlaLink="$P$306" lockText="1" noThreeD="1"/>
</file>

<file path=xl/ctrlProps/ctrlProp59.xml><?xml version="1.0" encoding="utf-8"?>
<formControlPr xmlns="http://schemas.microsoft.com/office/spreadsheetml/2009/9/main" objectType="CheckBox" fmlaLink="$P$307" lockText="1" noThreeD="1"/>
</file>

<file path=xl/ctrlProps/ctrlProp6.xml><?xml version="1.0" encoding="utf-8"?>
<formControlPr xmlns="http://schemas.microsoft.com/office/spreadsheetml/2009/9/main" objectType="Drop" dropLines="15" dropStyle="combo" dx="16" fmlaLink="$BL$74" fmlaRange="Tiere!$B$30:$B$79" noThreeD="1" val="0"/>
</file>

<file path=xl/ctrlProps/ctrlProp60.xml><?xml version="1.0" encoding="utf-8"?>
<formControlPr xmlns="http://schemas.microsoft.com/office/spreadsheetml/2009/9/main" objectType="Drop" dropLines="35" dropStyle="combo" dx="16" fmlaLink="$AX$114" fmlaRange="Pflanzen!$A$5:$A$98" noThreeD="1" val="0"/>
</file>

<file path=xl/ctrlProps/ctrlProp61.xml><?xml version="1.0" encoding="utf-8"?>
<formControlPr xmlns="http://schemas.microsoft.com/office/spreadsheetml/2009/9/main" objectType="CheckBox" checked="Checked" fmlaLink="$AV$114" lockText="1" noThreeD="1"/>
</file>

<file path=xl/ctrlProps/ctrlProp62.xml><?xml version="1.0" encoding="utf-8"?>
<formControlPr xmlns="http://schemas.microsoft.com/office/spreadsheetml/2009/9/main" objectType="Drop" dropLines="35" dropStyle="combo" dx="16" fmlaLink="$AX$115" fmlaRange="Pflanzen!$A$5:$A$98" noThreeD="1" val="0"/>
</file>

<file path=xl/ctrlProps/ctrlProp63.xml><?xml version="1.0" encoding="utf-8"?>
<formControlPr xmlns="http://schemas.microsoft.com/office/spreadsheetml/2009/9/main" objectType="CheckBox" checked="Checked" fmlaLink="$AV$115" lockText="1" noThreeD="1"/>
</file>

<file path=xl/ctrlProps/ctrlProp64.xml><?xml version="1.0" encoding="utf-8"?>
<formControlPr xmlns="http://schemas.microsoft.com/office/spreadsheetml/2009/9/main" objectType="Drop" dropLines="2" dropStyle="combo" dx="16" fmlaLink="$Y$165" fmlaRange="Stroh!$B$9:$B$10" noThreeD="1" val="0"/>
</file>

<file path=xl/ctrlProps/ctrlProp65.xml><?xml version="1.0" encoding="utf-8"?>
<formControlPr xmlns="http://schemas.microsoft.com/office/spreadsheetml/2009/9/main" objectType="Drop" dropLines="2" dropStyle="combo" dx="16" fmlaLink="$Y$166" fmlaRange="Stroh!$B$9:$B$10" noThreeD="1" val="0"/>
</file>

<file path=xl/ctrlProps/ctrlProp66.xml><?xml version="1.0" encoding="utf-8"?>
<formControlPr xmlns="http://schemas.microsoft.com/office/spreadsheetml/2009/9/main" objectType="Drop" dropLines="2" dropStyle="combo" dx="16" fmlaLink="$Y$167" fmlaRange="Stroh!$B$9:$B$10" noThreeD="1" val="0"/>
</file>

<file path=xl/ctrlProps/ctrlProp67.xml><?xml version="1.0" encoding="utf-8"?>
<formControlPr xmlns="http://schemas.microsoft.com/office/spreadsheetml/2009/9/main" objectType="Drop" dropLines="2" dropStyle="combo" dx="16" fmlaLink="$Y$168" fmlaRange="Stroh!$B$9:$B$10" noThreeD="1" sel="2" val="0"/>
</file>

<file path=xl/ctrlProps/ctrlProp68.xml><?xml version="1.0" encoding="utf-8"?>
<formControlPr xmlns="http://schemas.microsoft.com/office/spreadsheetml/2009/9/main" objectType="Drop" dropLines="3" dropStyle="combo" dx="16" fmlaLink="$X$276" fmlaRange="$U$274:$U$276" noThreeD="1" sel="3" val="0"/>
</file>

<file path=xl/ctrlProps/ctrlProp69.xml><?xml version="1.0" encoding="utf-8"?>
<formControlPr xmlns="http://schemas.microsoft.com/office/spreadsheetml/2009/9/main" objectType="Drop" dropLines="3" dropStyle="combo" dx="16" fmlaLink="$X$277" fmlaRange="$U$274:$U$276" noThreeD="1" sel="3" val="0"/>
</file>

<file path=xl/ctrlProps/ctrlProp7.xml><?xml version="1.0" encoding="utf-8"?>
<formControlPr xmlns="http://schemas.microsoft.com/office/spreadsheetml/2009/9/main" objectType="Drop" dropLines="15" dropStyle="combo" dx="16" fmlaLink="$BL$75" fmlaRange="Tiere!$B$30:$B$79" noThreeD="1" val="0"/>
</file>

<file path=xl/ctrlProps/ctrlProp70.xml><?xml version="1.0" encoding="utf-8"?>
<formControlPr xmlns="http://schemas.microsoft.com/office/spreadsheetml/2009/9/main" objectType="CheckBox" fmlaLink="$Q$254" lockText="1" noThreeD="1"/>
</file>

<file path=xl/ctrlProps/ctrlProp71.xml><?xml version="1.0" encoding="utf-8"?>
<formControlPr xmlns="http://schemas.microsoft.com/office/spreadsheetml/2009/9/main" objectType="CheckBox" fmlaLink="$Q$255" lockText="1" noThreeD="1"/>
</file>

<file path=xl/ctrlProps/ctrlProp72.xml><?xml version="1.0" encoding="utf-8"?>
<formControlPr xmlns="http://schemas.microsoft.com/office/spreadsheetml/2009/9/main" objectType="CheckBox" fmlaLink="$Q$256" lockText="1" noThreeD="1"/>
</file>

<file path=xl/ctrlProps/ctrlProp73.xml><?xml version="1.0" encoding="utf-8"?>
<formControlPr xmlns="http://schemas.microsoft.com/office/spreadsheetml/2009/9/main" objectType="CheckBox" fmlaLink="$Q$257" lockText="1" noThreeD="1"/>
</file>

<file path=xl/ctrlProps/ctrlProp74.xml><?xml version="1.0" encoding="utf-8"?>
<formControlPr xmlns="http://schemas.microsoft.com/office/spreadsheetml/2009/9/main" objectType="CheckBox" fmlaLink="$Q$258" lockText="1" noThreeD="1"/>
</file>

<file path=xl/ctrlProps/ctrlProp75.xml><?xml version="1.0" encoding="utf-8"?>
<formControlPr xmlns="http://schemas.microsoft.com/office/spreadsheetml/2009/9/main" objectType="CheckBox" fmlaLink="$Q$259" lockText="1" noThreeD="1"/>
</file>

<file path=xl/ctrlProps/ctrlProp76.xml><?xml version="1.0" encoding="utf-8"?>
<formControlPr xmlns="http://schemas.microsoft.com/office/spreadsheetml/2009/9/main" objectType="CheckBox" fmlaLink="$Q$260" lockText="1" noThreeD="1"/>
</file>

<file path=xl/ctrlProps/ctrlProp77.xml><?xml version="1.0" encoding="utf-8"?>
<formControlPr xmlns="http://schemas.microsoft.com/office/spreadsheetml/2009/9/main" objectType="CheckBox" fmlaLink="$Q$263" lockText="1" noThreeD="1"/>
</file>

<file path=xl/ctrlProps/ctrlProp78.xml><?xml version="1.0" encoding="utf-8"?>
<formControlPr xmlns="http://schemas.microsoft.com/office/spreadsheetml/2009/9/main" objectType="CheckBox" fmlaLink="$Q$264" lockText="1" noThreeD="1"/>
</file>

<file path=xl/ctrlProps/ctrlProp79.xml><?xml version="1.0" encoding="utf-8"?>
<formControlPr xmlns="http://schemas.microsoft.com/office/spreadsheetml/2009/9/main" objectType="CheckBox" fmlaLink="$Q$265" lockText="1" noThreeD="1"/>
</file>

<file path=xl/ctrlProps/ctrlProp8.xml><?xml version="1.0" encoding="utf-8"?>
<formControlPr xmlns="http://schemas.microsoft.com/office/spreadsheetml/2009/9/main" objectType="Drop" dropLines="15" dropStyle="combo" dx="16" fmlaLink="$BL$76" fmlaRange="Tiere!$B$30:$B$79" noThreeD="1" val="0"/>
</file>

<file path=xl/ctrlProps/ctrlProp80.xml><?xml version="1.0" encoding="utf-8"?>
<formControlPr xmlns="http://schemas.microsoft.com/office/spreadsheetml/2009/9/main" objectType="CheckBox" fmlaLink="$Q$266" lockText="1" noThreeD="1"/>
</file>

<file path=xl/ctrlProps/ctrlProp81.xml><?xml version="1.0" encoding="utf-8"?>
<formControlPr xmlns="http://schemas.microsoft.com/office/spreadsheetml/2009/9/main" objectType="Drop" dropStyle="combo" dx="16" fmlaLink="$BM$84" fmlaRange="Stroh!$B$2:$B$4" noThreeD="1" val="0"/>
</file>

<file path=xl/ctrlProps/ctrlProp82.xml><?xml version="1.0" encoding="utf-8"?>
<formControlPr xmlns="http://schemas.microsoft.com/office/spreadsheetml/2009/9/main" objectType="CheckBox" fmlaLink="$DJ$86" lockText="1" noThreeD="1"/>
</file>

<file path=xl/ctrlProps/ctrlProp83.xml><?xml version="1.0" encoding="utf-8"?>
<formControlPr xmlns="http://schemas.microsoft.com/office/spreadsheetml/2009/9/main" objectType="Drop" dropStyle="combo" dx="16" fmlaLink="$BM$85" fmlaRange="Stroh!$B$2:$B$4" noThreeD="1" val="0"/>
</file>

<file path=xl/ctrlProps/ctrlProp84.xml><?xml version="1.0" encoding="utf-8"?>
<formControlPr xmlns="http://schemas.microsoft.com/office/spreadsheetml/2009/9/main" objectType="CheckBox" fmlaLink="$DJ$85" lockText="1" noThreeD="1"/>
</file>

<file path=xl/ctrlProps/ctrlProp85.xml><?xml version="1.0" encoding="utf-8"?>
<formControlPr xmlns="http://schemas.microsoft.com/office/spreadsheetml/2009/9/main" objectType="Drop" dropLines="15" dropStyle="combo" dx="16" fmlaLink="$BL$77" fmlaRange="Tiere!$B$30:$B$79" noThreeD="1" val="0"/>
</file>

<file path=xl/ctrlProps/ctrlProp86.xml><?xml version="1.0" encoding="utf-8"?>
<formControlPr xmlns="http://schemas.microsoft.com/office/spreadsheetml/2009/9/main" objectType="Drop" dropStyle="combo" dx="16" fmlaLink="$BM$77" fmlaRange="Stroh!$B$2:$B$4" noThreeD="1" val="0"/>
</file>

<file path=xl/ctrlProps/ctrlProp87.xml><?xml version="1.0" encoding="utf-8"?>
<formControlPr xmlns="http://schemas.microsoft.com/office/spreadsheetml/2009/9/main" objectType="CheckBox" fmlaLink="$DJ$77" lockText="1" noThreeD="1"/>
</file>

<file path=xl/ctrlProps/ctrlProp88.xml><?xml version="1.0" encoding="utf-8"?>
<formControlPr xmlns="http://schemas.microsoft.com/office/spreadsheetml/2009/9/main" objectType="Drop" dropLines="15" dropStyle="combo" dx="16" fmlaLink="$BL$78" fmlaRange="Tiere!$B$30:$B$79" noThreeD="1" val="0"/>
</file>

<file path=xl/ctrlProps/ctrlProp89.xml><?xml version="1.0" encoding="utf-8"?>
<formControlPr xmlns="http://schemas.microsoft.com/office/spreadsheetml/2009/9/main" objectType="Drop" dropStyle="combo" dx="16" fmlaLink="$BM$78" fmlaRange="Stroh!$B$2:$B$4" noThreeD="1" val="0"/>
</file>

<file path=xl/ctrlProps/ctrlProp9.xml><?xml version="1.0" encoding="utf-8"?>
<formControlPr xmlns="http://schemas.microsoft.com/office/spreadsheetml/2009/9/main" objectType="Drop" dropLines="15" dropStyle="combo" dx="16" fmlaLink="$BL$79" fmlaRange="Tiere!$B$30:$B$79" noThreeD="1" val="0"/>
</file>

<file path=xl/ctrlProps/ctrlProp90.xml><?xml version="1.0" encoding="utf-8"?>
<formControlPr xmlns="http://schemas.microsoft.com/office/spreadsheetml/2009/9/main" objectType="CheckBox" fmlaLink="$DJ$78" lockText="1" noThreeD="1"/>
</file>

<file path=xl/ctrlProps/ctrlProp91.xml><?xml version="1.0" encoding="utf-8"?>
<formControlPr xmlns="http://schemas.microsoft.com/office/spreadsheetml/2009/9/main" objectType="Drop" dropStyle="combo" dx="16" fmlaLink="$BM$84" fmlaRange="Stroh!$B$2:$B$4" noThreeD="1" val="0"/>
</file>

<file path=xl/ctrlProps/ctrlProp92.xml><?xml version="1.0" encoding="utf-8"?>
<formControlPr xmlns="http://schemas.microsoft.com/office/spreadsheetml/2009/9/main" objectType="CheckBox" fmlaLink="$DJ$84" lockText="1" noThreeD="1"/>
</file>

<file path=xl/ctrlProps/ctrlProp93.xml><?xml version="1.0" encoding="utf-8"?>
<formControlPr xmlns="http://schemas.microsoft.com/office/spreadsheetml/2009/9/main" objectType="Drop" dropLines="35" dropStyle="combo" dx="16" fmlaLink="$AX$116" fmlaRange="Pflanzen!$A$5:$A$98" noThreeD="1" val="60"/>
</file>

<file path=xl/ctrlProps/ctrlProp94.xml><?xml version="1.0" encoding="utf-8"?>
<formControlPr xmlns="http://schemas.microsoft.com/office/spreadsheetml/2009/9/main" objectType="CheckBox" checked="Checked" fmlaLink="$AV$116" lockText="1" noThreeD="1"/>
</file>

<file path=xl/ctrlProps/ctrlProp95.xml><?xml version="1.0" encoding="utf-8"?>
<formControlPr xmlns="http://schemas.microsoft.com/office/spreadsheetml/2009/9/main" objectType="Drop" dropLines="35" dropStyle="combo" dx="16" fmlaLink="$AX$117" fmlaRange="Pflanzen!$A$5:$A$98" noThreeD="1" val="59"/>
</file>

<file path=xl/ctrlProps/ctrlProp96.xml><?xml version="1.0" encoding="utf-8"?>
<formControlPr xmlns="http://schemas.microsoft.com/office/spreadsheetml/2009/9/main" objectType="CheckBox" checked="Checked" fmlaLink="$AV$117" lockText="1" noThreeD="1"/>
</file>

<file path=xl/ctrlProps/ctrlProp97.xml><?xml version="1.0" encoding="utf-8"?>
<formControlPr xmlns="http://schemas.microsoft.com/office/spreadsheetml/2009/9/main" objectType="CheckBox" checked="Checked" fmlaLink="$AV$115" lockText="1" noThreeD="1"/>
</file>

<file path=xl/ctrlProps/ctrlProp98.xml><?xml version="1.0" encoding="utf-8"?>
<formControlPr xmlns="http://schemas.microsoft.com/office/spreadsheetml/2009/9/main" objectType="Drop" dropLines="35" dropStyle="combo" dx="16" fmlaLink="$AX$118" fmlaRange="Pflanzen!$A$5:$A$98" noThreeD="1" val="0"/>
</file>

<file path=xl/ctrlProps/ctrlProp99.xml><?xml version="1.0" encoding="utf-8"?>
<formControlPr xmlns="http://schemas.microsoft.com/office/spreadsheetml/2009/9/main" objectType="CheckBox" checked="Checked" fmlaLink="$AV$1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95250</xdr:rowOff>
    </xdr:from>
    <xdr:to>
      <xdr:col>6</xdr:col>
      <xdr:colOff>9525</xdr:colOff>
      <xdr:row>20</xdr:row>
      <xdr:rowOff>133350</xdr:rowOff>
    </xdr:to>
    <xdr:sp macro="" textlink="">
      <xdr:nvSpPr>
        <xdr:cNvPr id="175242" name="Ellipse 16"/>
        <xdr:cNvSpPr>
          <a:spLocks noChangeArrowheads="1"/>
        </xdr:cNvSpPr>
      </xdr:nvSpPr>
      <xdr:spPr bwMode="auto">
        <a:xfrm>
          <a:off x="1914525" y="4000500"/>
          <a:ext cx="1885950" cy="342900"/>
        </a:xfrm>
        <a:prstGeom prst="ellipse">
          <a:avLst/>
        </a:prstGeom>
        <a:ln/>
      </xdr:spPr>
      <xdr:style>
        <a:lnRef idx="2">
          <a:schemeClr val="accent6">
            <a:shade val="50000"/>
          </a:schemeClr>
        </a:lnRef>
        <a:fillRef idx="1">
          <a:schemeClr val="accent6"/>
        </a:fillRef>
        <a:effectRef idx="0">
          <a:schemeClr val="accent6"/>
        </a:effectRef>
        <a:fontRef idx="minor">
          <a:schemeClr val="lt1"/>
        </a:fontRef>
      </xdr:style>
      <xdr:txBody>
        <a:bodyPr/>
        <a:lstStyle/>
        <a:p>
          <a:endParaRPr lang="de-DE"/>
        </a:p>
      </xdr:txBody>
    </xdr:sp>
    <xdr:clientData/>
  </xdr:twoCellAnchor>
  <xdr:twoCellAnchor>
    <xdr:from>
      <xdr:col>2</xdr:col>
      <xdr:colOff>1</xdr:colOff>
      <xdr:row>18</xdr:row>
      <xdr:rowOff>74083</xdr:rowOff>
    </xdr:from>
    <xdr:to>
      <xdr:col>6</xdr:col>
      <xdr:colOff>21169</xdr:colOff>
      <xdr:row>27</xdr:row>
      <xdr:rowOff>63500</xdr:rowOff>
    </xdr:to>
    <xdr:sp macro="" textlink="">
      <xdr:nvSpPr>
        <xdr:cNvPr id="73" name="Zylinder 72"/>
        <xdr:cNvSpPr/>
      </xdr:nvSpPr>
      <xdr:spPr>
        <a:xfrm>
          <a:off x="1915584" y="3905250"/>
          <a:ext cx="1862668" cy="1322917"/>
        </a:xfrm>
        <a:prstGeom prst="can">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latin typeface="Arial" panose="020B0604020202020204" pitchFamily="34" charset="0"/>
            <a:cs typeface="Arial" panose="020B0604020202020204" pitchFamily="34" charset="0"/>
          </a:endParaRPr>
        </a:p>
      </xdr:txBody>
    </xdr:sp>
    <xdr:clientData/>
  </xdr:twoCellAnchor>
  <xdr:twoCellAnchor>
    <xdr:from>
      <xdr:col>0</xdr:col>
      <xdr:colOff>42333</xdr:colOff>
      <xdr:row>16</xdr:row>
      <xdr:rowOff>62195</xdr:rowOff>
    </xdr:from>
    <xdr:to>
      <xdr:col>12</xdr:col>
      <xdr:colOff>402166</xdr:colOff>
      <xdr:row>28</xdr:row>
      <xdr:rowOff>10584</xdr:rowOff>
    </xdr:to>
    <xdr:sp macro="" textlink="">
      <xdr:nvSpPr>
        <xdr:cNvPr id="50" name="Rechteck 49"/>
        <xdr:cNvSpPr/>
      </xdr:nvSpPr>
      <xdr:spPr>
        <a:xfrm>
          <a:off x="42333" y="3693601"/>
          <a:ext cx="6384396" cy="1781952"/>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68</xdr:row>
          <xdr:rowOff>9525</xdr:rowOff>
        </xdr:from>
        <xdr:to>
          <xdr:col>3</xdr:col>
          <xdr:colOff>485775</xdr:colOff>
          <xdr:row>68</xdr:row>
          <xdr:rowOff>228600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68</xdr:row>
          <xdr:rowOff>219075</xdr:rowOff>
        </xdr:from>
        <xdr:to>
          <xdr:col>3</xdr:col>
          <xdr:colOff>485775</xdr:colOff>
          <xdr:row>69</xdr:row>
          <xdr:rowOff>209550</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69</xdr:row>
          <xdr:rowOff>209550</xdr:rowOff>
        </xdr:from>
        <xdr:to>
          <xdr:col>3</xdr:col>
          <xdr:colOff>485775</xdr:colOff>
          <xdr:row>70</xdr:row>
          <xdr:rowOff>200025</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219075</xdr:rowOff>
        </xdr:from>
        <xdr:to>
          <xdr:col>3</xdr:col>
          <xdr:colOff>485775</xdr:colOff>
          <xdr:row>71</xdr:row>
          <xdr:rowOff>200025</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71</xdr:row>
          <xdr:rowOff>219075</xdr:rowOff>
        </xdr:from>
        <xdr:to>
          <xdr:col>3</xdr:col>
          <xdr:colOff>485775</xdr:colOff>
          <xdr:row>72</xdr:row>
          <xdr:rowOff>209550</xdr:rowOff>
        </xdr:to>
        <xdr:sp macro="" textlink="">
          <xdr:nvSpPr>
            <xdr:cNvPr id="2061" name="Drop Down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72</xdr:row>
          <xdr:rowOff>219075</xdr:rowOff>
        </xdr:from>
        <xdr:to>
          <xdr:col>3</xdr:col>
          <xdr:colOff>485775</xdr:colOff>
          <xdr:row>73</xdr:row>
          <xdr:rowOff>200025</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219075</xdr:rowOff>
        </xdr:from>
        <xdr:to>
          <xdr:col>3</xdr:col>
          <xdr:colOff>485775</xdr:colOff>
          <xdr:row>74</xdr:row>
          <xdr:rowOff>209550</xdr:rowOff>
        </xdr:to>
        <xdr:sp macro="" textlink="">
          <xdr:nvSpPr>
            <xdr:cNvPr id="2063" name="Drop Down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74</xdr:row>
          <xdr:rowOff>219075</xdr:rowOff>
        </xdr:from>
        <xdr:to>
          <xdr:col>3</xdr:col>
          <xdr:colOff>485775</xdr:colOff>
          <xdr:row>75</xdr:row>
          <xdr:rowOff>209550</xdr:rowOff>
        </xdr:to>
        <xdr:sp macro="" textlink="">
          <xdr:nvSpPr>
            <xdr:cNvPr id="2064" name="Drop Down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78</xdr:row>
          <xdr:rowOff>0</xdr:rowOff>
        </xdr:from>
        <xdr:to>
          <xdr:col>3</xdr:col>
          <xdr:colOff>485775</xdr:colOff>
          <xdr:row>78</xdr:row>
          <xdr:rowOff>219075</xdr:rowOff>
        </xdr:to>
        <xdr:sp macro="" textlink="">
          <xdr:nvSpPr>
            <xdr:cNvPr id="2065" name="Drop Down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9525</xdr:rowOff>
        </xdr:from>
        <xdr:to>
          <xdr:col>3</xdr:col>
          <xdr:colOff>485775</xdr:colOff>
          <xdr:row>79</xdr:row>
          <xdr:rowOff>219075</xdr:rowOff>
        </xdr:to>
        <xdr:sp macro="" textlink="">
          <xdr:nvSpPr>
            <xdr:cNvPr id="2081" name="Drop Down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80</xdr:row>
          <xdr:rowOff>9525</xdr:rowOff>
        </xdr:from>
        <xdr:to>
          <xdr:col>3</xdr:col>
          <xdr:colOff>485775</xdr:colOff>
          <xdr:row>80</xdr:row>
          <xdr:rowOff>219075</xdr:rowOff>
        </xdr:to>
        <xdr:sp macro="" textlink="">
          <xdr:nvSpPr>
            <xdr:cNvPr id="2082" name="Drop Down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xdr:row>
          <xdr:rowOff>19050</xdr:rowOff>
        </xdr:from>
        <xdr:to>
          <xdr:col>6</xdr:col>
          <xdr:colOff>485775</xdr:colOff>
          <xdr:row>68</xdr:row>
          <xdr:rowOff>0</xdr:rowOff>
        </xdr:to>
        <xdr:sp macro="" textlink="">
          <xdr:nvSpPr>
            <xdr:cNvPr id="2208" name="Drop Down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67</xdr:row>
          <xdr:rowOff>19050</xdr:rowOff>
        </xdr:from>
        <xdr:to>
          <xdr:col>3</xdr:col>
          <xdr:colOff>485775</xdr:colOff>
          <xdr:row>68</xdr:row>
          <xdr:rowOff>9525</xdr:rowOff>
        </xdr:to>
        <xdr:sp macro="" textlink="">
          <xdr:nvSpPr>
            <xdr:cNvPr id="2250" name="Drop Down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xdr:row>
          <xdr:rowOff>19050</xdr:rowOff>
        </xdr:from>
        <xdr:to>
          <xdr:col>6</xdr:col>
          <xdr:colOff>485775</xdr:colOff>
          <xdr:row>69</xdr:row>
          <xdr:rowOff>0</xdr:rowOff>
        </xdr:to>
        <xdr:sp macro="" textlink="">
          <xdr:nvSpPr>
            <xdr:cNvPr id="2261" name="Drop Down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69</xdr:row>
          <xdr:rowOff>28575</xdr:rowOff>
        </xdr:from>
        <xdr:to>
          <xdr:col>6</xdr:col>
          <xdr:colOff>485775</xdr:colOff>
          <xdr:row>70</xdr:row>
          <xdr:rowOff>9525</xdr:rowOff>
        </xdr:to>
        <xdr:sp macro="" textlink="">
          <xdr:nvSpPr>
            <xdr:cNvPr id="2262" name="Drop Down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xdr:row>
          <xdr:rowOff>28575</xdr:rowOff>
        </xdr:from>
        <xdr:to>
          <xdr:col>6</xdr:col>
          <xdr:colOff>485775</xdr:colOff>
          <xdr:row>71</xdr:row>
          <xdr:rowOff>9525</xdr:rowOff>
        </xdr:to>
        <xdr:sp macro="" textlink="">
          <xdr:nvSpPr>
            <xdr:cNvPr id="2263" name="Drop Down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xdr:row>
          <xdr:rowOff>28575</xdr:rowOff>
        </xdr:from>
        <xdr:to>
          <xdr:col>6</xdr:col>
          <xdr:colOff>485775</xdr:colOff>
          <xdr:row>72</xdr:row>
          <xdr:rowOff>9525</xdr:rowOff>
        </xdr:to>
        <xdr:sp macro="" textlink="">
          <xdr:nvSpPr>
            <xdr:cNvPr id="2264" name="Drop Down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xdr:row>
          <xdr:rowOff>28575</xdr:rowOff>
        </xdr:from>
        <xdr:to>
          <xdr:col>6</xdr:col>
          <xdr:colOff>485775</xdr:colOff>
          <xdr:row>73</xdr:row>
          <xdr:rowOff>9525</xdr:rowOff>
        </xdr:to>
        <xdr:sp macro="" textlink="">
          <xdr:nvSpPr>
            <xdr:cNvPr id="2265" name="Drop Down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28575</xdr:rowOff>
        </xdr:from>
        <xdr:to>
          <xdr:col>6</xdr:col>
          <xdr:colOff>485775</xdr:colOff>
          <xdr:row>74</xdr:row>
          <xdr:rowOff>9525</xdr:rowOff>
        </xdr:to>
        <xdr:sp macro="" textlink="">
          <xdr:nvSpPr>
            <xdr:cNvPr id="2266" name="Drop Down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74</xdr:row>
          <xdr:rowOff>28575</xdr:rowOff>
        </xdr:from>
        <xdr:to>
          <xdr:col>6</xdr:col>
          <xdr:colOff>485775</xdr:colOff>
          <xdr:row>75</xdr:row>
          <xdr:rowOff>9525</xdr:rowOff>
        </xdr:to>
        <xdr:sp macro="" textlink="">
          <xdr:nvSpPr>
            <xdr:cNvPr id="2267" name="Drop Down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28575</xdr:rowOff>
        </xdr:from>
        <xdr:to>
          <xdr:col>6</xdr:col>
          <xdr:colOff>485775</xdr:colOff>
          <xdr:row>76</xdr:row>
          <xdr:rowOff>9525</xdr:rowOff>
        </xdr:to>
        <xdr:sp macro="" textlink="">
          <xdr:nvSpPr>
            <xdr:cNvPr id="2268" name="Drop Down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28575</xdr:rowOff>
        </xdr:from>
        <xdr:to>
          <xdr:col>6</xdr:col>
          <xdr:colOff>485775</xdr:colOff>
          <xdr:row>79</xdr:row>
          <xdr:rowOff>9525</xdr:rowOff>
        </xdr:to>
        <xdr:sp macro="" textlink="">
          <xdr:nvSpPr>
            <xdr:cNvPr id="2269" name="Drop Down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28575</xdr:rowOff>
        </xdr:from>
        <xdr:to>
          <xdr:col>6</xdr:col>
          <xdr:colOff>485775</xdr:colOff>
          <xdr:row>80</xdr:row>
          <xdr:rowOff>9525</xdr:rowOff>
        </xdr:to>
        <xdr:sp macro="" textlink="">
          <xdr:nvSpPr>
            <xdr:cNvPr id="2270" name="Drop Down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80</xdr:row>
          <xdr:rowOff>28575</xdr:rowOff>
        </xdr:from>
        <xdr:to>
          <xdr:col>6</xdr:col>
          <xdr:colOff>485775</xdr:colOff>
          <xdr:row>81</xdr:row>
          <xdr:rowOff>9525</xdr:rowOff>
        </xdr:to>
        <xdr:sp macro="" textlink="">
          <xdr:nvSpPr>
            <xdr:cNvPr id="2271" name="Drop Down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9525</xdr:rowOff>
        </xdr:from>
        <xdr:to>
          <xdr:col>6</xdr:col>
          <xdr:colOff>495300</xdr:colOff>
          <xdr:row>82</xdr:row>
          <xdr:rowOff>219075</xdr:rowOff>
        </xdr:to>
        <xdr:sp macro="" textlink="">
          <xdr:nvSpPr>
            <xdr:cNvPr id="2304" name="Drop Down 256" hidden="1">
              <a:extLst>
                <a:ext uri="{63B3BB69-23CF-44E3-9099-C40C66FF867C}">
                  <a14:compatExt spid="_x0000_s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85</xdr:row>
          <xdr:rowOff>0</xdr:rowOff>
        </xdr:from>
        <xdr:to>
          <xdr:col>6</xdr:col>
          <xdr:colOff>495300</xdr:colOff>
          <xdr:row>85</xdr:row>
          <xdr:rowOff>209550</xdr:rowOff>
        </xdr:to>
        <xdr:sp macro="" textlink="">
          <xdr:nvSpPr>
            <xdr:cNvPr id="2307" name="Drop Down 259" hidden="1">
              <a:extLst>
                <a:ext uri="{63B3BB69-23CF-44E3-9099-C40C66FF867C}">
                  <a14:compatExt spid="_x0000_s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86</xdr:row>
          <xdr:rowOff>0</xdr:rowOff>
        </xdr:from>
        <xdr:to>
          <xdr:col>6</xdr:col>
          <xdr:colOff>495300</xdr:colOff>
          <xdr:row>86</xdr:row>
          <xdr:rowOff>209550</xdr:rowOff>
        </xdr:to>
        <xdr:sp macro="" textlink="">
          <xdr:nvSpPr>
            <xdr:cNvPr id="2308" name="Drop Down 260" hidden="1">
              <a:extLst>
                <a:ext uri="{63B3BB69-23CF-44E3-9099-C40C66FF867C}">
                  <a14:compatExt spid="_x0000_s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262</xdr:row>
          <xdr:rowOff>0</xdr:rowOff>
        </xdr:from>
        <xdr:to>
          <xdr:col>5</xdr:col>
          <xdr:colOff>0</xdr:colOff>
          <xdr:row>262</xdr:row>
          <xdr:rowOff>209550</xdr:rowOff>
        </xdr:to>
        <xdr:sp macro="" textlink="">
          <xdr:nvSpPr>
            <xdr:cNvPr id="2368" name="Drop Down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263</xdr:row>
          <xdr:rowOff>9525</xdr:rowOff>
        </xdr:from>
        <xdr:to>
          <xdr:col>5</xdr:col>
          <xdr:colOff>0</xdr:colOff>
          <xdr:row>263</xdr:row>
          <xdr:rowOff>209550</xdr:rowOff>
        </xdr:to>
        <xdr:sp macro="" textlink="">
          <xdr:nvSpPr>
            <xdr:cNvPr id="2370" name="Drop Down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264</xdr:row>
          <xdr:rowOff>9525</xdr:rowOff>
        </xdr:from>
        <xdr:to>
          <xdr:col>5</xdr:col>
          <xdr:colOff>0</xdr:colOff>
          <xdr:row>264</xdr:row>
          <xdr:rowOff>219075</xdr:rowOff>
        </xdr:to>
        <xdr:sp macro="" textlink="">
          <xdr:nvSpPr>
            <xdr:cNvPr id="2371" name="Drop Down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265</xdr:row>
          <xdr:rowOff>9525</xdr:rowOff>
        </xdr:from>
        <xdr:to>
          <xdr:col>5</xdr:col>
          <xdr:colOff>0</xdr:colOff>
          <xdr:row>265</xdr:row>
          <xdr:rowOff>209550</xdr:rowOff>
        </xdr:to>
        <xdr:sp macro="" textlink="">
          <xdr:nvSpPr>
            <xdr:cNvPr id="2372" name="Drop Down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273</xdr:row>
          <xdr:rowOff>0</xdr:rowOff>
        </xdr:from>
        <xdr:to>
          <xdr:col>0</xdr:col>
          <xdr:colOff>962025</xdr:colOff>
          <xdr:row>274</xdr:row>
          <xdr:rowOff>9525</xdr:rowOff>
        </xdr:to>
        <xdr:sp macro="" textlink="">
          <xdr:nvSpPr>
            <xdr:cNvPr id="2401" name="Drop Down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0</xdr:rowOff>
        </xdr:from>
        <xdr:to>
          <xdr:col>0</xdr:col>
          <xdr:colOff>962025</xdr:colOff>
          <xdr:row>275</xdr:row>
          <xdr:rowOff>9525</xdr:rowOff>
        </xdr:to>
        <xdr:sp macro="" textlink="">
          <xdr:nvSpPr>
            <xdr:cNvPr id="2402" name="Drop Down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275</xdr:row>
          <xdr:rowOff>0</xdr:rowOff>
        </xdr:from>
        <xdr:to>
          <xdr:col>0</xdr:col>
          <xdr:colOff>962025</xdr:colOff>
          <xdr:row>276</xdr:row>
          <xdr:rowOff>9525</xdr:rowOff>
        </xdr:to>
        <xdr:sp macro="" textlink="">
          <xdr:nvSpPr>
            <xdr:cNvPr id="2403" name="Drop Down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277</xdr:row>
          <xdr:rowOff>0</xdr:rowOff>
        </xdr:from>
        <xdr:to>
          <xdr:col>0</xdr:col>
          <xdr:colOff>962025</xdr:colOff>
          <xdr:row>278</xdr:row>
          <xdr:rowOff>9525</xdr:rowOff>
        </xdr:to>
        <xdr:sp macro="" textlink="">
          <xdr:nvSpPr>
            <xdr:cNvPr id="2404" name="Drop Down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xdr:twoCellAnchor editAs="oneCell">
    <xdr:from>
      <xdr:col>9</xdr:col>
      <xdr:colOff>95250</xdr:colOff>
      <xdr:row>0</xdr:row>
      <xdr:rowOff>47625</xdr:rowOff>
    </xdr:from>
    <xdr:to>
      <xdr:col>12</xdr:col>
      <xdr:colOff>190500</xdr:colOff>
      <xdr:row>3</xdr:row>
      <xdr:rowOff>85725</xdr:rowOff>
    </xdr:to>
    <xdr:pic>
      <xdr:nvPicPr>
        <xdr:cNvPr id="224667"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47625"/>
          <a:ext cx="10382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221</xdr:row>
      <xdr:rowOff>19050</xdr:rowOff>
    </xdr:from>
    <xdr:to>
      <xdr:col>1</xdr:col>
      <xdr:colOff>523874</xdr:colOff>
      <xdr:row>224</xdr:row>
      <xdr:rowOff>142876</xdr:rowOff>
    </xdr:to>
    <xdr:sp macro="" textlink="">
      <xdr:nvSpPr>
        <xdr:cNvPr id="42" name="Flussdiagramm: Magnetplattenspeicher 41"/>
        <xdr:cNvSpPr/>
      </xdr:nvSpPr>
      <xdr:spPr bwMode="auto">
        <a:xfrm>
          <a:off x="390524" y="6353175"/>
          <a:ext cx="1114425" cy="695326"/>
        </a:xfrm>
        <a:prstGeom prst="flowChartMagneticDisk">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Separation)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4</xdr:col>
      <xdr:colOff>123825</xdr:colOff>
      <xdr:row>221</xdr:row>
      <xdr:rowOff>19049</xdr:rowOff>
    </xdr:from>
    <xdr:to>
      <xdr:col>6</xdr:col>
      <xdr:colOff>314325</xdr:colOff>
      <xdr:row>224</xdr:row>
      <xdr:rowOff>152400</xdr:rowOff>
    </xdr:to>
    <xdr:sp macro="" textlink="">
      <xdr:nvSpPr>
        <xdr:cNvPr id="43" name="Flussdiagramm: Magnetplattenspeicher 42"/>
        <xdr:cNvSpPr/>
      </xdr:nvSpPr>
      <xdr:spPr bwMode="auto">
        <a:xfrm>
          <a:off x="2895600" y="6353174"/>
          <a:ext cx="1200150" cy="704851"/>
        </a:xfrm>
        <a:prstGeom prst="flowChartMagneticDisk">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Separation)</a:t>
          </a:r>
          <a:endParaRPr lang="de-DE" sz="1100"/>
        </a:p>
      </xdr:txBody>
    </xdr:sp>
    <xdr:clientData/>
  </xdr:twoCellAnchor>
  <xdr:twoCellAnchor>
    <xdr:from>
      <xdr:col>8</xdr:col>
      <xdr:colOff>371475</xdr:colOff>
      <xdr:row>221</xdr:row>
      <xdr:rowOff>76200</xdr:rowOff>
    </xdr:from>
    <xdr:to>
      <xdr:col>11</xdr:col>
      <xdr:colOff>361950</xdr:colOff>
      <xdr:row>224</xdr:row>
      <xdr:rowOff>66675</xdr:rowOff>
    </xdr:to>
    <xdr:sp macro="" textlink="">
      <xdr:nvSpPr>
        <xdr:cNvPr id="44" name="Flussdiagramm: Prozess 43"/>
        <xdr:cNvSpPr/>
      </xdr:nvSpPr>
      <xdr:spPr bwMode="auto">
        <a:xfrm>
          <a:off x="5067300" y="6410325"/>
          <a:ext cx="1047750" cy="561975"/>
        </a:xfrm>
        <a:prstGeom prst="flowChartProcess">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Separation</a:t>
          </a:r>
          <a:r>
            <a:rPr lang="de-DE" sz="1100" baseline="0"/>
            <a:t>)</a:t>
          </a:r>
          <a:endParaRPr lang="de-DE" sz="1100"/>
        </a:p>
      </xdr:txBody>
    </xdr:sp>
    <xdr:clientData/>
  </xdr:twoCellAnchor>
  <xdr:twoCellAnchor>
    <xdr:from>
      <xdr:col>3</xdr:col>
      <xdr:colOff>504825</xdr:colOff>
      <xdr:row>215</xdr:row>
      <xdr:rowOff>152400</xdr:rowOff>
    </xdr:from>
    <xdr:to>
      <xdr:col>7</xdr:col>
      <xdr:colOff>66675</xdr:colOff>
      <xdr:row>218</xdr:row>
      <xdr:rowOff>114300</xdr:rowOff>
    </xdr:to>
    <xdr:sp macro="" textlink="">
      <xdr:nvSpPr>
        <xdr:cNvPr id="45" name="Flussdiagramm: Alternativer Prozess 44"/>
        <xdr:cNvSpPr/>
      </xdr:nvSpPr>
      <xdr:spPr bwMode="auto">
        <a:xfrm>
          <a:off x="2780242" y="31426150"/>
          <a:ext cx="1593850" cy="565150"/>
        </a:xfrm>
        <a:prstGeom prst="flowChartAlternateProcess">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Separation</a:t>
          </a:r>
        </a:p>
      </xdr:txBody>
    </xdr:sp>
    <xdr:clientData/>
  </xdr:twoCellAnchor>
  <xdr:twoCellAnchor>
    <xdr:from>
      <xdr:col>0</xdr:col>
      <xdr:colOff>942975</xdr:colOff>
      <xdr:row>213</xdr:row>
      <xdr:rowOff>19050</xdr:rowOff>
    </xdr:from>
    <xdr:to>
      <xdr:col>3</xdr:col>
      <xdr:colOff>733425</xdr:colOff>
      <xdr:row>221</xdr:row>
      <xdr:rowOff>19050</xdr:rowOff>
    </xdr:to>
    <xdr:cxnSp macro="">
      <xdr:nvCxnSpPr>
        <xdr:cNvPr id="224672" name="Gerade Verbindung mit Pfeil 17"/>
        <xdr:cNvCxnSpPr>
          <a:cxnSpLocks noChangeShapeType="1"/>
          <a:endCxn id="42" idx="1"/>
        </xdr:cNvCxnSpPr>
      </xdr:nvCxnSpPr>
      <xdr:spPr bwMode="auto">
        <a:xfrm flipH="1">
          <a:off x="942975" y="43624500"/>
          <a:ext cx="1838325"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219075</xdr:colOff>
      <xdr:row>218</xdr:row>
      <xdr:rowOff>114300</xdr:rowOff>
    </xdr:from>
    <xdr:to>
      <xdr:col>5</xdr:col>
      <xdr:colOff>247650</xdr:colOff>
      <xdr:row>221</xdr:row>
      <xdr:rowOff>19050</xdr:rowOff>
    </xdr:to>
    <xdr:cxnSp macro="">
      <xdr:nvCxnSpPr>
        <xdr:cNvPr id="224673" name="Gerade Verbindung mit Pfeil 21"/>
        <xdr:cNvCxnSpPr>
          <a:cxnSpLocks noChangeShapeType="1"/>
          <a:stCxn id="45" idx="2"/>
          <a:endCxn id="43" idx="1"/>
        </xdr:cNvCxnSpPr>
      </xdr:nvCxnSpPr>
      <xdr:spPr bwMode="auto">
        <a:xfrm flipH="1">
          <a:off x="3505200" y="44719875"/>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247650</xdr:colOff>
      <xdr:row>218</xdr:row>
      <xdr:rowOff>114300</xdr:rowOff>
    </xdr:from>
    <xdr:to>
      <xdr:col>10</xdr:col>
      <xdr:colOff>0</xdr:colOff>
      <xdr:row>221</xdr:row>
      <xdr:rowOff>76200</xdr:rowOff>
    </xdr:to>
    <xdr:cxnSp macro="">
      <xdr:nvCxnSpPr>
        <xdr:cNvPr id="224674" name="Gerade Verbindung mit Pfeil 23"/>
        <xdr:cNvCxnSpPr>
          <a:cxnSpLocks noChangeShapeType="1"/>
          <a:stCxn id="45" idx="2"/>
          <a:endCxn id="44" idx="0"/>
        </xdr:cNvCxnSpPr>
      </xdr:nvCxnSpPr>
      <xdr:spPr bwMode="auto">
        <a:xfrm>
          <a:off x="3533775" y="44719875"/>
          <a:ext cx="20288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504825</xdr:colOff>
      <xdr:row>213</xdr:row>
      <xdr:rowOff>28575</xdr:rowOff>
    </xdr:from>
    <xdr:to>
      <xdr:col>5</xdr:col>
      <xdr:colOff>247650</xdr:colOff>
      <xdr:row>215</xdr:row>
      <xdr:rowOff>152400</xdr:rowOff>
    </xdr:to>
    <xdr:cxnSp macro="">
      <xdr:nvCxnSpPr>
        <xdr:cNvPr id="224675" name="Gerade Verbindung mit Pfeil 26"/>
        <xdr:cNvCxnSpPr>
          <a:cxnSpLocks noChangeShapeType="1"/>
          <a:endCxn id="45" idx="0"/>
        </xdr:cNvCxnSpPr>
      </xdr:nvCxnSpPr>
      <xdr:spPr bwMode="auto">
        <a:xfrm>
          <a:off x="2781300" y="43634025"/>
          <a:ext cx="75247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6</xdr:col>
          <xdr:colOff>0</xdr:colOff>
          <xdr:row>12</xdr:row>
          <xdr:rowOff>9525</xdr:rowOff>
        </xdr:from>
        <xdr:to>
          <xdr:col>6</xdr:col>
          <xdr:colOff>495300</xdr:colOff>
          <xdr:row>13</xdr:row>
          <xdr:rowOff>9525</xdr:rowOff>
        </xdr:to>
        <xdr:sp macro="" textlink="">
          <xdr:nvSpPr>
            <xdr:cNvPr id="57789" name="Drop Down 2493" hidden="1">
              <a:extLst>
                <a:ext uri="{63B3BB69-23CF-44E3-9099-C40C66FF867C}">
                  <a14:compatExt spid="_x0000_s57789"/>
                </a:ext>
              </a:extLst>
            </xdr:cNvPr>
            <xdr:cNvSpPr/>
          </xdr:nvSpPr>
          <xdr:spPr>
            <a:xfrm>
              <a:off x="0" y="0"/>
              <a:ext cx="0" cy="0"/>
            </a:xfrm>
            <a:prstGeom prst="rect">
              <a:avLst/>
            </a:prstGeom>
          </xdr:spPr>
        </xdr:sp>
        <xdr:clientData/>
      </xdr:twoCellAnchor>
    </mc:Choice>
    <mc:Fallback/>
  </mc:AlternateContent>
  <xdr:twoCellAnchor>
    <xdr:from>
      <xdr:col>0</xdr:col>
      <xdr:colOff>8866</xdr:colOff>
      <xdr:row>16</xdr:row>
      <xdr:rowOff>30324</xdr:rowOff>
    </xdr:from>
    <xdr:to>
      <xdr:col>6</xdr:col>
      <xdr:colOff>84667</xdr:colOff>
      <xdr:row>18</xdr:row>
      <xdr:rowOff>50549</xdr:rowOff>
    </xdr:to>
    <xdr:sp macro="" textlink="">
      <xdr:nvSpPr>
        <xdr:cNvPr id="61" name="Textfeld 18"/>
        <xdr:cNvSpPr txBox="1"/>
      </xdr:nvSpPr>
      <xdr:spPr>
        <a:xfrm>
          <a:off x="8866" y="3607491"/>
          <a:ext cx="3875218" cy="32714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500" b="1">
              <a:solidFill>
                <a:sysClr val="windowText" lastClr="000000"/>
              </a:solidFill>
            </a:rPr>
            <a:t>Stoffflüsse in der Biogasanlage</a:t>
          </a:r>
        </a:p>
      </xdr:txBody>
    </xdr:sp>
    <xdr:clientData/>
  </xdr:twoCellAnchor>
  <xdr:twoCellAnchor>
    <xdr:from>
      <xdr:col>0</xdr:col>
      <xdr:colOff>140663</xdr:colOff>
      <xdr:row>18</xdr:row>
      <xdr:rowOff>23361</xdr:rowOff>
    </xdr:from>
    <xdr:to>
      <xdr:col>0</xdr:col>
      <xdr:colOff>640296</xdr:colOff>
      <xdr:row>20</xdr:row>
      <xdr:rowOff>43008</xdr:rowOff>
    </xdr:to>
    <xdr:sp macro="" textlink="">
      <xdr:nvSpPr>
        <xdr:cNvPr id="62" name="Ellipse 61"/>
        <xdr:cNvSpPr/>
      </xdr:nvSpPr>
      <xdr:spPr>
        <a:xfrm>
          <a:off x="140663" y="3976236"/>
          <a:ext cx="499633" cy="329210"/>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200">
              <a:solidFill>
                <a:sysClr val="windowText" lastClr="000000"/>
              </a:solidFill>
              <a:latin typeface="Arial" panose="020B0604020202020204" pitchFamily="34" charset="0"/>
              <a:cs typeface="Arial" panose="020B0604020202020204" pitchFamily="34" charset="0"/>
            </a:rPr>
            <a:t>1</a:t>
          </a:r>
        </a:p>
      </xdr:txBody>
    </xdr:sp>
    <xdr:clientData/>
  </xdr:twoCellAnchor>
  <xdr:twoCellAnchor>
    <xdr:from>
      <xdr:col>0</xdr:col>
      <xdr:colOff>428625</xdr:colOff>
      <xdr:row>23</xdr:row>
      <xdr:rowOff>35718</xdr:rowOff>
    </xdr:from>
    <xdr:to>
      <xdr:col>1</xdr:col>
      <xdr:colOff>592675</xdr:colOff>
      <xdr:row>27</xdr:row>
      <xdr:rowOff>84666</xdr:rowOff>
    </xdr:to>
    <xdr:sp macro="" textlink="">
      <xdr:nvSpPr>
        <xdr:cNvPr id="72" name="Zylinder 71"/>
        <xdr:cNvSpPr/>
      </xdr:nvSpPr>
      <xdr:spPr>
        <a:xfrm>
          <a:off x="428625" y="4762499"/>
          <a:ext cx="1140363" cy="668073"/>
        </a:xfrm>
        <a:prstGeom prst="can">
          <a:avLst/>
        </a:prstGeom>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300" b="1"/>
            <a:t>Fermenter</a:t>
          </a:r>
        </a:p>
      </xdr:txBody>
    </xdr:sp>
    <xdr:clientData/>
  </xdr:twoCellAnchor>
  <xdr:twoCellAnchor>
    <xdr:from>
      <xdr:col>0</xdr:col>
      <xdr:colOff>937949</xdr:colOff>
      <xdr:row>18</xdr:row>
      <xdr:rowOff>152737</xdr:rowOff>
    </xdr:from>
    <xdr:to>
      <xdr:col>1</xdr:col>
      <xdr:colOff>463192</xdr:colOff>
      <xdr:row>21</xdr:row>
      <xdr:rowOff>28184</xdr:rowOff>
    </xdr:to>
    <xdr:sp macro="" textlink="">
      <xdr:nvSpPr>
        <xdr:cNvPr id="77" name="Ellipse 76"/>
        <xdr:cNvSpPr/>
      </xdr:nvSpPr>
      <xdr:spPr>
        <a:xfrm>
          <a:off x="937949" y="4105612"/>
          <a:ext cx="501556" cy="339791"/>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200">
              <a:solidFill>
                <a:sysClr val="windowText" lastClr="000000"/>
              </a:solidFill>
              <a:latin typeface="Arial" panose="020B0604020202020204" pitchFamily="34" charset="0"/>
              <a:cs typeface="Arial" panose="020B0604020202020204" pitchFamily="34" charset="0"/>
            </a:rPr>
            <a:t>2</a:t>
          </a:r>
        </a:p>
      </xdr:txBody>
    </xdr:sp>
    <xdr:clientData/>
  </xdr:twoCellAnchor>
  <xdr:twoCellAnchor>
    <xdr:from>
      <xdr:col>5</xdr:col>
      <xdr:colOff>262369</xdr:colOff>
      <xdr:row>16</xdr:row>
      <xdr:rowOff>109344</xdr:rowOff>
    </xdr:from>
    <xdr:to>
      <xdr:col>6</xdr:col>
      <xdr:colOff>254002</xdr:colOff>
      <xdr:row>18</xdr:row>
      <xdr:rowOff>128991</xdr:rowOff>
    </xdr:to>
    <xdr:sp macro="" textlink="">
      <xdr:nvSpPr>
        <xdr:cNvPr id="78" name="Ellipse 77"/>
        <xdr:cNvSpPr/>
      </xdr:nvSpPr>
      <xdr:spPr>
        <a:xfrm>
          <a:off x="3543202" y="3686511"/>
          <a:ext cx="499633" cy="326563"/>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200">
              <a:solidFill>
                <a:sysClr val="windowText" lastClr="000000"/>
              </a:solidFill>
              <a:latin typeface="Arial" panose="020B0604020202020204" pitchFamily="34" charset="0"/>
              <a:cs typeface="Arial" panose="020B0604020202020204" pitchFamily="34" charset="0"/>
            </a:rPr>
            <a:t>3</a:t>
          </a:r>
        </a:p>
      </xdr:txBody>
    </xdr:sp>
    <xdr:clientData/>
  </xdr:twoCellAnchor>
  <xdr:twoCellAnchor>
    <xdr:from>
      <xdr:col>0</xdr:col>
      <xdr:colOff>567126</xdr:colOff>
      <xdr:row>19</xdr:row>
      <xdr:rowOff>149578</xdr:rowOff>
    </xdr:from>
    <xdr:to>
      <xdr:col>0</xdr:col>
      <xdr:colOff>869156</xdr:colOff>
      <xdr:row>23</xdr:row>
      <xdr:rowOff>130969</xdr:rowOff>
    </xdr:to>
    <xdr:cxnSp macro="">
      <xdr:nvCxnSpPr>
        <xdr:cNvPr id="82" name="Gerade Verbindung mit Pfeil 81"/>
        <xdr:cNvCxnSpPr>
          <a:stCxn id="62" idx="5"/>
        </xdr:cNvCxnSpPr>
      </xdr:nvCxnSpPr>
      <xdr:spPr>
        <a:xfrm>
          <a:off x="567126" y="4257234"/>
          <a:ext cx="302030" cy="60051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154781</xdr:colOff>
      <xdr:row>21</xdr:row>
      <xdr:rowOff>28184</xdr:rowOff>
    </xdr:from>
    <xdr:to>
      <xdr:col>1</xdr:col>
      <xdr:colOff>212414</xdr:colOff>
      <xdr:row>23</xdr:row>
      <xdr:rowOff>119064</xdr:rowOff>
    </xdr:to>
    <xdr:cxnSp macro="">
      <xdr:nvCxnSpPr>
        <xdr:cNvPr id="86" name="Gerade Verbindung mit Pfeil 85"/>
        <xdr:cNvCxnSpPr>
          <a:endCxn id="77" idx="4"/>
        </xdr:cNvCxnSpPr>
      </xdr:nvCxnSpPr>
      <xdr:spPr>
        <a:xfrm flipV="1">
          <a:off x="1131094" y="4445403"/>
          <a:ext cx="57633" cy="40044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84667</xdr:colOff>
      <xdr:row>18</xdr:row>
      <xdr:rowOff>81167</xdr:rowOff>
    </xdr:from>
    <xdr:to>
      <xdr:col>5</xdr:col>
      <xdr:colOff>335539</xdr:colOff>
      <xdr:row>19</xdr:row>
      <xdr:rowOff>137583</xdr:rowOff>
    </xdr:to>
    <xdr:cxnSp macro="">
      <xdr:nvCxnSpPr>
        <xdr:cNvPr id="88" name="Gerade Verbindung mit Pfeil 87"/>
        <xdr:cNvCxnSpPr>
          <a:endCxn id="78" idx="3"/>
        </xdr:cNvCxnSpPr>
      </xdr:nvCxnSpPr>
      <xdr:spPr>
        <a:xfrm flipV="1">
          <a:off x="3365500" y="3965250"/>
          <a:ext cx="250872" cy="20458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261937</xdr:colOff>
      <xdr:row>22</xdr:row>
      <xdr:rowOff>146182</xdr:rowOff>
    </xdr:from>
    <xdr:to>
      <xdr:col>2</xdr:col>
      <xdr:colOff>1</xdr:colOff>
      <xdr:row>23</xdr:row>
      <xdr:rowOff>119063</xdr:rowOff>
    </xdr:to>
    <xdr:cxnSp macro="">
      <xdr:nvCxnSpPr>
        <xdr:cNvPr id="92" name="Gerade Verbindung mit Pfeil 91"/>
        <xdr:cNvCxnSpPr>
          <a:endCxn id="73" idx="2"/>
        </xdr:cNvCxnSpPr>
      </xdr:nvCxnSpPr>
      <xdr:spPr>
        <a:xfrm flipV="1">
          <a:off x="1238250" y="4718182"/>
          <a:ext cx="666751" cy="12766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9525</xdr:colOff>
      <xdr:row>26</xdr:row>
      <xdr:rowOff>142875</xdr:rowOff>
    </xdr:from>
    <xdr:to>
      <xdr:col>5</xdr:col>
      <xdr:colOff>495300</xdr:colOff>
      <xdr:row>27</xdr:row>
      <xdr:rowOff>95250</xdr:rowOff>
    </xdr:to>
    <xdr:sp macro="" textlink="">
      <xdr:nvSpPr>
        <xdr:cNvPr id="224685" name="Mond 18"/>
        <xdr:cNvSpPr>
          <a:spLocks noChangeArrowheads="1"/>
        </xdr:cNvSpPr>
      </xdr:nvSpPr>
      <xdr:spPr bwMode="auto">
        <a:xfrm rot="-5400000">
          <a:off x="2800350" y="4391025"/>
          <a:ext cx="104775" cy="1857375"/>
        </a:xfrm>
        <a:prstGeom prst="moon">
          <a:avLst>
            <a:gd name="adj" fmla="val 87500"/>
          </a:avLst>
        </a:prstGeom>
        <a:solidFill>
          <a:srgbClr val="F79646"/>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6</xdr:col>
      <xdr:colOff>47625</xdr:colOff>
      <xdr:row>25</xdr:row>
      <xdr:rowOff>128696</xdr:rowOff>
    </xdr:from>
    <xdr:to>
      <xdr:col>7</xdr:col>
      <xdr:colOff>330102</xdr:colOff>
      <xdr:row>25</xdr:row>
      <xdr:rowOff>130969</xdr:rowOff>
    </xdr:to>
    <xdr:cxnSp macro="">
      <xdr:nvCxnSpPr>
        <xdr:cNvPr id="104" name="Gerade Verbindung mit Pfeil 103"/>
        <xdr:cNvCxnSpPr>
          <a:endCxn id="117" idx="2"/>
        </xdr:cNvCxnSpPr>
      </xdr:nvCxnSpPr>
      <xdr:spPr>
        <a:xfrm flipV="1">
          <a:off x="3810000" y="5165040"/>
          <a:ext cx="782540" cy="227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xdr:colOff>
          <xdr:row>112</xdr:row>
          <xdr:rowOff>9525</xdr:rowOff>
        </xdr:from>
        <xdr:to>
          <xdr:col>2</xdr:col>
          <xdr:colOff>0</xdr:colOff>
          <xdr:row>112</xdr:row>
          <xdr:rowOff>200025</xdr:rowOff>
        </xdr:to>
        <xdr:sp macro="" textlink="">
          <xdr:nvSpPr>
            <xdr:cNvPr id="120435" name="Drop Down 8819" hidden="1">
              <a:extLst>
                <a:ext uri="{63B3BB69-23CF-44E3-9099-C40C66FF867C}">
                  <a14:compatExt spid="_x0000_s120435"/>
                </a:ext>
              </a:extLst>
            </xdr:cNvPr>
            <xdr:cNvSpPr/>
          </xdr:nvSpPr>
          <xdr:spPr>
            <a:xfrm>
              <a:off x="0" y="0"/>
              <a:ext cx="0" cy="0"/>
            </a:xfrm>
            <a:prstGeom prst="rect">
              <a:avLst/>
            </a:prstGeom>
          </xdr:spPr>
        </xdr:sp>
        <xdr:clientData/>
      </xdr:twoCellAnchor>
    </mc:Choice>
    <mc:Fallback/>
  </mc:AlternateContent>
  <xdr:twoCellAnchor>
    <xdr:from>
      <xdr:col>7</xdr:col>
      <xdr:colOff>330102</xdr:colOff>
      <xdr:row>24</xdr:row>
      <xdr:rowOff>113581</xdr:rowOff>
    </xdr:from>
    <xdr:to>
      <xdr:col>9</xdr:col>
      <xdr:colOff>4235</xdr:colOff>
      <xdr:row>26</xdr:row>
      <xdr:rowOff>143811</xdr:rowOff>
    </xdr:to>
    <xdr:sp macro="" textlink="">
      <xdr:nvSpPr>
        <xdr:cNvPr id="117" name="Ellipse 116"/>
        <xdr:cNvSpPr/>
      </xdr:nvSpPr>
      <xdr:spPr>
        <a:xfrm>
          <a:off x="4626935" y="4780831"/>
          <a:ext cx="499633" cy="326563"/>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200">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10</xdr:col>
      <xdr:colOff>0</xdr:colOff>
      <xdr:row>18</xdr:row>
      <xdr:rowOff>76200</xdr:rowOff>
    </xdr:from>
    <xdr:to>
      <xdr:col>12</xdr:col>
      <xdr:colOff>323850</xdr:colOff>
      <xdr:row>23</xdr:row>
      <xdr:rowOff>28575</xdr:rowOff>
    </xdr:to>
    <xdr:grpSp>
      <xdr:nvGrpSpPr>
        <xdr:cNvPr id="224688" name="Gruppieren 6"/>
        <xdr:cNvGrpSpPr>
          <a:grpSpLocks/>
        </xdr:cNvGrpSpPr>
      </xdr:nvGrpSpPr>
      <xdr:grpSpPr bwMode="auto">
        <a:xfrm>
          <a:off x="5577417" y="3960283"/>
          <a:ext cx="810683" cy="693209"/>
          <a:chOff x="5566833" y="3705565"/>
          <a:chExt cx="814916" cy="697101"/>
        </a:xfrm>
      </xdr:grpSpPr>
      <xdr:sp macro="" textlink="">
        <xdr:nvSpPr>
          <xdr:cNvPr id="118" name="Ellipse 117"/>
          <xdr:cNvSpPr/>
        </xdr:nvSpPr>
        <xdr:spPr>
          <a:xfrm>
            <a:off x="5633163" y="3705565"/>
            <a:ext cx="691731" cy="641333"/>
          </a:xfrm>
          <a:prstGeom prst="ellipse">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latin typeface="Arial" panose="020B0604020202020204" pitchFamily="34" charset="0"/>
              <a:cs typeface="Arial" panose="020B0604020202020204" pitchFamily="34" charset="0"/>
            </a:endParaRPr>
          </a:p>
        </xdr:txBody>
      </xdr:sp>
      <xdr:sp macro="" textlink="">
        <xdr:nvSpPr>
          <xdr:cNvPr id="32" name="Textfeld 31"/>
          <xdr:cNvSpPr txBox="1"/>
        </xdr:nvSpPr>
        <xdr:spPr>
          <a:xfrm>
            <a:off x="5566833" y="3789217"/>
            <a:ext cx="814916" cy="613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900">
                <a:solidFill>
                  <a:schemeClr val="bg1"/>
                </a:solidFill>
                <a:latin typeface="Arial" panose="020B0604020202020204" pitchFamily="34" charset="0"/>
                <a:cs typeface="Arial" panose="020B0604020202020204" pitchFamily="34" charset="0"/>
              </a:rPr>
              <a:t>Nährstoff- flüsse:</a:t>
            </a:r>
            <a:br>
              <a:rPr lang="de-DE" sz="900">
                <a:solidFill>
                  <a:schemeClr val="bg1"/>
                </a:solidFill>
                <a:latin typeface="Arial" panose="020B0604020202020204" pitchFamily="34" charset="0"/>
                <a:cs typeface="Arial" panose="020B0604020202020204" pitchFamily="34" charset="0"/>
              </a:rPr>
            </a:br>
            <a:r>
              <a:rPr lang="de-DE" sz="1100" b="1">
                <a:solidFill>
                  <a:schemeClr val="bg1"/>
                </a:solidFill>
                <a:latin typeface="Arial" panose="020B0604020202020204" pitchFamily="34" charset="0"/>
                <a:cs typeface="Arial" panose="020B0604020202020204" pitchFamily="34" charset="0"/>
              </a:rPr>
              <a:t>WDüngV</a:t>
            </a:r>
          </a:p>
        </xdr:txBody>
      </xdr:sp>
    </xdr:grpSp>
    <xdr:clientData/>
  </xdr:twoCellAnchor>
  <xdr:twoCellAnchor>
    <xdr:from>
      <xdr:col>11</xdr:col>
      <xdr:colOff>172461</xdr:colOff>
      <xdr:row>22</xdr:row>
      <xdr:rowOff>126992</xdr:rowOff>
    </xdr:from>
    <xdr:to>
      <xdr:col>11</xdr:col>
      <xdr:colOff>180927</xdr:colOff>
      <xdr:row>24</xdr:row>
      <xdr:rowOff>113581</xdr:rowOff>
    </xdr:to>
    <xdr:cxnSp macro="">
      <xdr:nvCxnSpPr>
        <xdr:cNvPr id="125" name="Gerade Verbindung mit Pfeil 124"/>
        <xdr:cNvCxnSpPr>
          <a:stCxn id="118" idx="4"/>
          <a:endCxn id="141" idx="0"/>
        </xdr:cNvCxnSpPr>
      </xdr:nvCxnSpPr>
      <xdr:spPr>
        <a:xfrm>
          <a:off x="5982711" y="4603742"/>
          <a:ext cx="8466" cy="282922"/>
        </a:xfrm>
        <a:prstGeom prst="straightConnector1">
          <a:avLst/>
        </a:prstGeom>
        <a:ln>
          <a:solidFill>
            <a:srgbClr val="00B050"/>
          </a:solidFill>
          <a:prstDash val="sys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181936</xdr:colOff>
      <xdr:row>24</xdr:row>
      <xdr:rowOff>113581</xdr:rowOff>
    </xdr:from>
    <xdr:to>
      <xdr:col>12</xdr:col>
      <xdr:colOff>179918</xdr:colOff>
      <xdr:row>26</xdr:row>
      <xdr:rowOff>143811</xdr:rowOff>
    </xdr:to>
    <xdr:sp macro="" textlink="">
      <xdr:nvSpPr>
        <xdr:cNvPr id="141" name="Ellipse 140"/>
        <xdr:cNvSpPr/>
      </xdr:nvSpPr>
      <xdr:spPr>
        <a:xfrm>
          <a:off x="5748769" y="4981914"/>
          <a:ext cx="484816" cy="326564"/>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latin typeface="Arial" panose="020B0604020202020204" pitchFamily="34" charset="0"/>
            <a:cs typeface="Arial" panose="020B0604020202020204" pitchFamily="34" charset="0"/>
          </a:endParaRPr>
        </a:p>
      </xdr:txBody>
    </xdr:sp>
    <xdr:clientData/>
  </xdr:twoCellAnchor>
  <xdr:twoCellAnchor>
    <xdr:from>
      <xdr:col>9</xdr:col>
      <xdr:colOff>4235</xdr:colOff>
      <xdr:row>25</xdr:row>
      <xdr:rowOff>128696</xdr:rowOff>
    </xdr:from>
    <xdr:to>
      <xdr:col>10</xdr:col>
      <xdr:colOff>181936</xdr:colOff>
      <xdr:row>25</xdr:row>
      <xdr:rowOff>128696</xdr:rowOff>
    </xdr:to>
    <xdr:cxnSp macro="">
      <xdr:nvCxnSpPr>
        <xdr:cNvPr id="150" name="Gerade Verbindung mit Pfeil 149"/>
        <xdr:cNvCxnSpPr>
          <a:stCxn id="117" idx="6"/>
          <a:endCxn id="141" idx="2"/>
        </xdr:cNvCxnSpPr>
      </xdr:nvCxnSpPr>
      <xdr:spPr>
        <a:xfrm>
          <a:off x="5126568" y="4944113"/>
          <a:ext cx="622201"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166111</xdr:colOff>
      <xdr:row>22</xdr:row>
      <xdr:rowOff>25401</xdr:rowOff>
    </xdr:from>
    <xdr:to>
      <xdr:col>8</xdr:col>
      <xdr:colOff>167169</xdr:colOff>
      <xdr:row>24</xdr:row>
      <xdr:rowOff>113581</xdr:rowOff>
    </xdr:to>
    <xdr:cxnSp macro="">
      <xdr:nvCxnSpPr>
        <xdr:cNvPr id="159" name="Gerade Verbindung mit Pfeil 158"/>
        <xdr:cNvCxnSpPr>
          <a:endCxn id="117" idx="0"/>
        </xdr:cNvCxnSpPr>
      </xdr:nvCxnSpPr>
      <xdr:spPr>
        <a:xfrm>
          <a:off x="4875694" y="4396318"/>
          <a:ext cx="1058" cy="384513"/>
        </a:xfrm>
        <a:prstGeom prst="straightConnector1">
          <a:avLst/>
        </a:prstGeom>
        <a:ln>
          <a:solidFill>
            <a:srgbClr val="00B050"/>
          </a:solidFill>
          <a:prstDash val="sys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66675</xdr:colOff>
      <xdr:row>18</xdr:row>
      <xdr:rowOff>66675</xdr:rowOff>
    </xdr:from>
    <xdr:to>
      <xdr:col>9</xdr:col>
      <xdr:colOff>266700</xdr:colOff>
      <xdr:row>22</xdr:row>
      <xdr:rowOff>133350</xdr:rowOff>
    </xdr:to>
    <xdr:grpSp>
      <xdr:nvGrpSpPr>
        <xdr:cNvPr id="224693" name="Gruppieren 7"/>
        <xdr:cNvGrpSpPr>
          <a:grpSpLocks/>
        </xdr:cNvGrpSpPr>
      </xdr:nvGrpSpPr>
      <xdr:grpSpPr bwMode="auto">
        <a:xfrm>
          <a:off x="4374092" y="3950758"/>
          <a:ext cx="1025525" cy="659342"/>
          <a:chOff x="4360333" y="3953213"/>
          <a:chExt cx="1026583" cy="661117"/>
        </a:xfrm>
      </xdr:grpSpPr>
      <xdr:sp macro="" textlink="">
        <xdr:nvSpPr>
          <xdr:cNvPr id="152" name="Ellipse 151"/>
          <xdr:cNvSpPr/>
        </xdr:nvSpPr>
        <xdr:spPr>
          <a:xfrm>
            <a:off x="4494652" y="3953213"/>
            <a:ext cx="719568" cy="642494"/>
          </a:xfrm>
          <a:prstGeom prst="ellipse">
            <a:avLst/>
          </a:prstGeom>
          <a:solidFill>
            <a:srgbClr val="00B05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latin typeface="Arial" panose="020B0604020202020204" pitchFamily="34" charset="0"/>
              <a:cs typeface="Arial" panose="020B0604020202020204" pitchFamily="34" charset="0"/>
            </a:endParaRPr>
          </a:p>
          <a:p>
            <a:pPr algn="ctr"/>
            <a:endParaRPr lang="de-DE" sz="1200">
              <a:latin typeface="Arial" panose="020B0604020202020204" pitchFamily="34" charset="0"/>
              <a:cs typeface="Arial" panose="020B0604020202020204" pitchFamily="34" charset="0"/>
            </a:endParaRPr>
          </a:p>
        </xdr:txBody>
      </xdr:sp>
      <xdr:sp macro="" textlink="">
        <xdr:nvSpPr>
          <xdr:cNvPr id="161" name="Textfeld 160"/>
          <xdr:cNvSpPr txBox="1"/>
        </xdr:nvSpPr>
        <xdr:spPr>
          <a:xfrm>
            <a:off x="4360333" y="4111509"/>
            <a:ext cx="1026583" cy="50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900">
                <a:solidFill>
                  <a:schemeClr val="bg1"/>
                </a:solidFill>
                <a:latin typeface="Arial" panose="020B0604020202020204" pitchFamily="34" charset="0"/>
                <a:cs typeface="Arial" panose="020B0604020202020204" pitchFamily="34" charset="0"/>
              </a:rPr>
              <a:t>Lagerraum:</a:t>
            </a:r>
            <a:br>
              <a:rPr lang="de-DE" sz="900">
                <a:solidFill>
                  <a:schemeClr val="bg1"/>
                </a:solidFill>
                <a:latin typeface="Arial" panose="020B0604020202020204" pitchFamily="34" charset="0"/>
                <a:cs typeface="Arial" panose="020B0604020202020204" pitchFamily="34" charset="0"/>
              </a:rPr>
            </a:br>
            <a:r>
              <a:rPr lang="de-DE" sz="1100" b="1">
                <a:solidFill>
                  <a:schemeClr val="bg1"/>
                </a:solidFill>
                <a:latin typeface="Arial" panose="020B0604020202020204" pitchFamily="34" charset="0"/>
                <a:cs typeface="Arial" panose="020B0604020202020204" pitchFamily="34" charset="0"/>
              </a:rPr>
              <a:t>DüV</a:t>
            </a:r>
          </a:p>
        </xdr:txBody>
      </xdr:sp>
    </xdr:grpSp>
    <xdr:clientData/>
  </xdr:twoCellAnchor>
  <xdr:twoCellAnchor>
    <xdr:from>
      <xdr:col>10</xdr:col>
      <xdr:colOff>84667</xdr:colOff>
      <xdr:row>25</xdr:row>
      <xdr:rowOff>10582</xdr:rowOff>
    </xdr:from>
    <xdr:to>
      <xdr:col>12</xdr:col>
      <xdr:colOff>306916</xdr:colOff>
      <xdr:row>26</xdr:row>
      <xdr:rowOff>137582</xdr:rowOff>
    </xdr:to>
    <xdr:sp macro="" textlink="">
      <xdr:nvSpPr>
        <xdr:cNvPr id="83" name="Textfeld 82"/>
        <xdr:cNvSpPr txBox="1"/>
      </xdr:nvSpPr>
      <xdr:spPr>
        <a:xfrm>
          <a:off x="5662084" y="4931832"/>
          <a:ext cx="709082" cy="275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200">
              <a:solidFill>
                <a:sysClr val="windowText" lastClr="000000"/>
              </a:solidFill>
              <a:latin typeface="Arial" panose="020B0604020202020204" pitchFamily="34" charset="0"/>
              <a:cs typeface="Arial" panose="020B0604020202020204" pitchFamily="34" charset="0"/>
            </a:rPr>
            <a:t>6/7</a:t>
          </a:r>
          <a:endParaRPr lang="de-D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233627</xdr:colOff>
      <xdr:row>18</xdr:row>
      <xdr:rowOff>114300</xdr:rowOff>
    </xdr:from>
    <xdr:to>
      <xdr:col>5</xdr:col>
      <xdr:colOff>47626</xdr:colOff>
      <xdr:row>20</xdr:row>
      <xdr:rowOff>83342</xdr:rowOff>
    </xdr:to>
    <xdr:sp macro="" textlink="">
      <xdr:nvSpPr>
        <xdr:cNvPr id="85" name="Textfeld 84"/>
        <xdr:cNvSpPr txBox="1"/>
      </xdr:nvSpPr>
      <xdr:spPr>
        <a:xfrm>
          <a:off x="2138627" y="4067175"/>
          <a:ext cx="1171312" cy="27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300" b="1" u="sng">
              <a:solidFill>
                <a:sysClr val="windowText" lastClr="000000"/>
              </a:solidFill>
              <a:latin typeface="Arial" panose="020B0604020202020204" pitchFamily="34" charset="0"/>
              <a:cs typeface="Arial" panose="020B0604020202020204" pitchFamily="34" charset="0"/>
            </a:rPr>
            <a:t>Jahresanfall</a:t>
          </a:r>
        </a:p>
      </xdr:txBody>
    </xdr:sp>
    <xdr:clientData/>
  </xdr:twoCellAnchor>
  <xdr:twoCellAnchor>
    <xdr:from>
      <xdr:col>6</xdr:col>
      <xdr:colOff>296334</xdr:colOff>
      <xdr:row>16</xdr:row>
      <xdr:rowOff>55724</xdr:rowOff>
    </xdr:from>
    <xdr:to>
      <xdr:col>12</xdr:col>
      <xdr:colOff>423334</xdr:colOff>
      <xdr:row>18</xdr:row>
      <xdr:rowOff>75949</xdr:rowOff>
    </xdr:to>
    <xdr:sp macro="" textlink="">
      <xdr:nvSpPr>
        <xdr:cNvPr id="89" name="Textfeld 18"/>
        <xdr:cNvSpPr txBox="1"/>
      </xdr:nvSpPr>
      <xdr:spPr>
        <a:xfrm>
          <a:off x="4095751" y="3632891"/>
          <a:ext cx="2391833" cy="32714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500" b="1">
              <a:solidFill>
                <a:sysClr val="windowText" lastClr="000000"/>
              </a:solidFill>
            </a:rPr>
            <a:t>Vorgaben Verordnungen</a:t>
          </a:r>
        </a:p>
      </xdr:txBody>
    </xdr:sp>
    <xdr:clientData/>
  </xdr:twoCellAnchor>
  <xdr:twoCellAnchor>
    <xdr:from>
      <xdr:col>6</xdr:col>
      <xdr:colOff>317500</xdr:colOff>
      <xdr:row>16</xdr:row>
      <xdr:rowOff>62195</xdr:rowOff>
    </xdr:from>
    <xdr:to>
      <xdr:col>12</xdr:col>
      <xdr:colOff>402166</xdr:colOff>
      <xdr:row>28</xdr:row>
      <xdr:rowOff>10584</xdr:rowOff>
    </xdr:to>
    <xdr:sp macro="" textlink="">
      <xdr:nvSpPr>
        <xdr:cNvPr id="90" name="Rechteck 89"/>
        <xdr:cNvSpPr/>
      </xdr:nvSpPr>
      <xdr:spPr>
        <a:xfrm>
          <a:off x="4079875" y="3693601"/>
          <a:ext cx="2346854" cy="1781952"/>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136</xdr:row>
          <xdr:rowOff>9525</xdr:rowOff>
        </xdr:from>
        <xdr:to>
          <xdr:col>5</xdr:col>
          <xdr:colOff>485775</xdr:colOff>
          <xdr:row>137</xdr:row>
          <xdr:rowOff>0</xdr:rowOff>
        </xdr:to>
        <xdr:sp macro="" textlink="">
          <xdr:nvSpPr>
            <xdr:cNvPr id="125183" name="Drop Down 10495" hidden="1">
              <a:extLst>
                <a:ext uri="{63B3BB69-23CF-44E3-9099-C40C66FF867C}">
                  <a14:compatExt spid="_x0000_s12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111</xdr:row>
          <xdr:rowOff>190500</xdr:rowOff>
        </xdr:from>
        <xdr:to>
          <xdr:col>2</xdr:col>
          <xdr:colOff>285750</xdr:colOff>
          <xdr:row>112</xdr:row>
          <xdr:rowOff>190500</xdr:rowOff>
        </xdr:to>
        <xdr:sp macro="" textlink="">
          <xdr:nvSpPr>
            <xdr:cNvPr id="125357" name="Check Box 10669" hidden="1">
              <a:extLst>
                <a:ext uri="{63B3BB69-23CF-44E3-9099-C40C66FF867C}">
                  <a14:compatExt spid="_x0000_s1253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136</xdr:row>
          <xdr:rowOff>19050</xdr:rowOff>
        </xdr:from>
        <xdr:to>
          <xdr:col>2</xdr:col>
          <xdr:colOff>285750</xdr:colOff>
          <xdr:row>137</xdr:row>
          <xdr:rowOff>19050</xdr:rowOff>
        </xdr:to>
        <xdr:sp macro="" textlink="">
          <xdr:nvSpPr>
            <xdr:cNvPr id="125907" name="Check Box 11219" hidden="1">
              <a:extLst>
                <a:ext uri="{63B3BB69-23CF-44E3-9099-C40C66FF867C}">
                  <a14:compatExt spid="_x0000_s125907"/>
                </a:ext>
              </a:extLst>
            </xdr:cNvPr>
            <xdr:cNvSpPr/>
          </xdr:nvSpPr>
          <xdr:spPr>
            <a:xfrm>
              <a:off x="0" y="0"/>
              <a:ext cx="0" cy="0"/>
            </a:xfrm>
            <a:prstGeom prst="rect">
              <a:avLst/>
            </a:prstGeom>
          </xdr:spPr>
        </xdr:sp>
        <xdr:clientData fLocksWithSheet="0"/>
      </xdr:twoCellAnchor>
    </mc:Choice>
    <mc:Fallback/>
  </mc:AlternateContent>
  <xdr:twoCellAnchor>
    <xdr:from>
      <xdr:col>1</xdr:col>
      <xdr:colOff>704850</xdr:colOff>
      <xdr:row>203</xdr:row>
      <xdr:rowOff>219075</xdr:rowOff>
    </xdr:from>
    <xdr:to>
      <xdr:col>4</xdr:col>
      <xdr:colOff>0</xdr:colOff>
      <xdr:row>210</xdr:row>
      <xdr:rowOff>19050</xdr:rowOff>
    </xdr:to>
    <xdr:cxnSp macro="">
      <xdr:nvCxnSpPr>
        <xdr:cNvPr id="224698" name="Gerade Verbindung mit Pfeil 28"/>
        <xdr:cNvCxnSpPr>
          <a:cxnSpLocks noChangeShapeType="1"/>
          <a:endCxn id="8" idx="0"/>
        </xdr:cNvCxnSpPr>
      </xdr:nvCxnSpPr>
      <xdr:spPr bwMode="auto">
        <a:xfrm>
          <a:off x="1685925" y="41767125"/>
          <a:ext cx="1095375" cy="1257300"/>
        </a:xfrm>
        <a:prstGeom prst="straightConnector1">
          <a:avLst/>
        </a:prstGeom>
        <a:noFill/>
        <a:ln w="9525"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4</xdr:col>
          <xdr:colOff>142875</xdr:colOff>
          <xdr:row>304</xdr:row>
          <xdr:rowOff>9525</xdr:rowOff>
        </xdr:from>
        <xdr:to>
          <xdr:col>4</xdr:col>
          <xdr:colOff>381000</xdr:colOff>
          <xdr:row>305</xdr:row>
          <xdr:rowOff>9525</xdr:rowOff>
        </xdr:to>
        <xdr:sp macro="" textlink="">
          <xdr:nvSpPr>
            <xdr:cNvPr id="129542" name="Check Box 11782" hidden="1">
              <a:extLst>
                <a:ext uri="{63B3BB69-23CF-44E3-9099-C40C66FF867C}">
                  <a14:compatExt spid="_x0000_s1295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67</xdr:row>
          <xdr:rowOff>0</xdr:rowOff>
        </xdr:from>
        <xdr:to>
          <xdr:col>12</xdr:col>
          <xdr:colOff>342900</xdr:colOff>
          <xdr:row>67</xdr:row>
          <xdr:rowOff>200025</xdr:rowOff>
        </xdr:to>
        <xdr:sp macro="" textlink="">
          <xdr:nvSpPr>
            <xdr:cNvPr id="131405" name="Check Box 12621" hidden="1">
              <a:extLst>
                <a:ext uri="{63B3BB69-23CF-44E3-9099-C40C66FF867C}">
                  <a14:compatExt spid="_x0000_s1314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70</xdr:row>
          <xdr:rowOff>9525</xdr:rowOff>
        </xdr:from>
        <xdr:to>
          <xdr:col>12</xdr:col>
          <xdr:colOff>342900</xdr:colOff>
          <xdr:row>70</xdr:row>
          <xdr:rowOff>209550</xdr:rowOff>
        </xdr:to>
        <xdr:sp macro="" textlink="">
          <xdr:nvSpPr>
            <xdr:cNvPr id="131702" name="Check Box 12918" hidden="1">
              <a:extLst>
                <a:ext uri="{63B3BB69-23CF-44E3-9099-C40C66FF867C}">
                  <a14:compatExt spid="_x0000_s1317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73</xdr:row>
          <xdr:rowOff>0</xdr:rowOff>
        </xdr:from>
        <xdr:to>
          <xdr:col>12</xdr:col>
          <xdr:colOff>342900</xdr:colOff>
          <xdr:row>73</xdr:row>
          <xdr:rowOff>200025</xdr:rowOff>
        </xdr:to>
        <xdr:sp macro="" textlink="">
          <xdr:nvSpPr>
            <xdr:cNvPr id="131703" name="Check Box 12919" hidden="1">
              <a:extLst>
                <a:ext uri="{63B3BB69-23CF-44E3-9099-C40C66FF867C}">
                  <a14:compatExt spid="_x0000_s1317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71</xdr:row>
          <xdr:rowOff>0</xdr:rowOff>
        </xdr:from>
        <xdr:to>
          <xdr:col>12</xdr:col>
          <xdr:colOff>352425</xdr:colOff>
          <xdr:row>71</xdr:row>
          <xdr:rowOff>200025</xdr:rowOff>
        </xdr:to>
        <xdr:sp macro="" textlink="">
          <xdr:nvSpPr>
            <xdr:cNvPr id="131705" name="Check Box 12921" hidden="1">
              <a:extLst>
                <a:ext uri="{63B3BB69-23CF-44E3-9099-C40C66FF867C}">
                  <a14:compatExt spid="_x0000_s1317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72</xdr:row>
          <xdr:rowOff>0</xdr:rowOff>
        </xdr:from>
        <xdr:to>
          <xdr:col>12</xdr:col>
          <xdr:colOff>342900</xdr:colOff>
          <xdr:row>72</xdr:row>
          <xdr:rowOff>200025</xdr:rowOff>
        </xdr:to>
        <xdr:sp macro="" textlink="">
          <xdr:nvSpPr>
            <xdr:cNvPr id="131706" name="Check Box 12922" hidden="1">
              <a:extLst>
                <a:ext uri="{63B3BB69-23CF-44E3-9099-C40C66FF867C}">
                  <a14:compatExt spid="_x0000_s1317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74</xdr:row>
          <xdr:rowOff>0</xdr:rowOff>
        </xdr:from>
        <xdr:to>
          <xdr:col>12</xdr:col>
          <xdr:colOff>352425</xdr:colOff>
          <xdr:row>74</xdr:row>
          <xdr:rowOff>200025</xdr:rowOff>
        </xdr:to>
        <xdr:sp macro="" textlink="">
          <xdr:nvSpPr>
            <xdr:cNvPr id="131707" name="Check Box 12923" hidden="1">
              <a:extLst>
                <a:ext uri="{63B3BB69-23CF-44E3-9099-C40C66FF867C}">
                  <a14:compatExt spid="_x0000_s1317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75</xdr:row>
          <xdr:rowOff>0</xdr:rowOff>
        </xdr:from>
        <xdr:to>
          <xdr:col>12</xdr:col>
          <xdr:colOff>352425</xdr:colOff>
          <xdr:row>75</xdr:row>
          <xdr:rowOff>200025</xdr:rowOff>
        </xdr:to>
        <xdr:sp macro="" textlink="">
          <xdr:nvSpPr>
            <xdr:cNvPr id="131708" name="Check Box 12924" hidden="1">
              <a:extLst>
                <a:ext uri="{63B3BB69-23CF-44E3-9099-C40C66FF867C}">
                  <a14:compatExt spid="_x0000_s1317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78</xdr:row>
          <xdr:rowOff>0</xdr:rowOff>
        </xdr:from>
        <xdr:to>
          <xdr:col>12</xdr:col>
          <xdr:colOff>352425</xdr:colOff>
          <xdr:row>78</xdr:row>
          <xdr:rowOff>200025</xdr:rowOff>
        </xdr:to>
        <xdr:sp macro="" textlink="">
          <xdr:nvSpPr>
            <xdr:cNvPr id="131709" name="Check Box 12925" hidden="1">
              <a:extLst>
                <a:ext uri="{63B3BB69-23CF-44E3-9099-C40C66FF867C}">
                  <a14:compatExt spid="_x0000_s1317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79</xdr:row>
          <xdr:rowOff>0</xdr:rowOff>
        </xdr:from>
        <xdr:to>
          <xdr:col>12</xdr:col>
          <xdr:colOff>352425</xdr:colOff>
          <xdr:row>79</xdr:row>
          <xdr:rowOff>200025</xdr:rowOff>
        </xdr:to>
        <xdr:sp macro="" textlink="">
          <xdr:nvSpPr>
            <xdr:cNvPr id="131710" name="Check Box 12926" hidden="1">
              <a:extLst>
                <a:ext uri="{63B3BB69-23CF-44E3-9099-C40C66FF867C}">
                  <a14:compatExt spid="_x0000_s1317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80</xdr:row>
          <xdr:rowOff>0</xdr:rowOff>
        </xdr:from>
        <xdr:to>
          <xdr:col>12</xdr:col>
          <xdr:colOff>352425</xdr:colOff>
          <xdr:row>80</xdr:row>
          <xdr:rowOff>200025</xdr:rowOff>
        </xdr:to>
        <xdr:sp macro="" textlink="">
          <xdr:nvSpPr>
            <xdr:cNvPr id="131711" name="Check Box 12927" hidden="1">
              <a:extLst>
                <a:ext uri="{63B3BB69-23CF-44E3-9099-C40C66FF867C}">
                  <a14:compatExt spid="_x0000_s1317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82</xdr:row>
          <xdr:rowOff>0</xdr:rowOff>
        </xdr:from>
        <xdr:to>
          <xdr:col>12</xdr:col>
          <xdr:colOff>352425</xdr:colOff>
          <xdr:row>82</xdr:row>
          <xdr:rowOff>200025</xdr:rowOff>
        </xdr:to>
        <xdr:sp macro="" textlink="">
          <xdr:nvSpPr>
            <xdr:cNvPr id="131712" name="Check Box 12928" hidden="1">
              <a:extLst>
                <a:ext uri="{63B3BB69-23CF-44E3-9099-C40C66FF867C}">
                  <a14:compatExt spid="_x0000_s1317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85</xdr:row>
          <xdr:rowOff>0</xdr:rowOff>
        </xdr:from>
        <xdr:to>
          <xdr:col>12</xdr:col>
          <xdr:colOff>352425</xdr:colOff>
          <xdr:row>85</xdr:row>
          <xdr:rowOff>200025</xdr:rowOff>
        </xdr:to>
        <xdr:sp macro="" textlink="">
          <xdr:nvSpPr>
            <xdr:cNvPr id="131713" name="Check Box 12929" hidden="1">
              <a:extLst>
                <a:ext uri="{63B3BB69-23CF-44E3-9099-C40C66FF867C}">
                  <a14:compatExt spid="_x0000_s1317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86</xdr:row>
          <xdr:rowOff>0</xdr:rowOff>
        </xdr:from>
        <xdr:to>
          <xdr:col>12</xdr:col>
          <xdr:colOff>352425</xdr:colOff>
          <xdr:row>86</xdr:row>
          <xdr:rowOff>200025</xdr:rowOff>
        </xdr:to>
        <xdr:sp macro="" textlink="">
          <xdr:nvSpPr>
            <xdr:cNvPr id="131714" name="Check Box 12930" hidden="1">
              <a:extLst>
                <a:ext uri="{63B3BB69-23CF-44E3-9099-C40C66FF867C}">
                  <a14:compatExt spid="_x0000_s1317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68</xdr:row>
          <xdr:rowOff>0</xdr:rowOff>
        </xdr:from>
        <xdr:to>
          <xdr:col>12</xdr:col>
          <xdr:colOff>342900</xdr:colOff>
          <xdr:row>68</xdr:row>
          <xdr:rowOff>200025</xdr:rowOff>
        </xdr:to>
        <xdr:sp macro="" textlink="">
          <xdr:nvSpPr>
            <xdr:cNvPr id="131848" name="Check Box 13064" hidden="1">
              <a:extLst>
                <a:ext uri="{63B3BB69-23CF-44E3-9099-C40C66FF867C}">
                  <a14:compatExt spid="_x0000_s1318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69</xdr:row>
          <xdr:rowOff>0</xdr:rowOff>
        </xdr:from>
        <xdr:to>
          <xdr:col>12</xdr:col>
          <xdr:colOff>342900</xdr:colOff>
          <xdr:row>69</xdr:row>
          <xdr:rowOff>200025</xdr:rowOff>
        </xdr:to>
        <xdr:sp macro="" textlink="">
          <xdr:nvSpPr>
            <xdr:cNvPr id="131849" name="Check Box 13065" hidden="1">
              <a:extLst>
                <a:ext uri="{63B3BB69-23CF-44E3-9099-C40C66FF867C}">
                  <a14:compatExt spid="_x0000_s1318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163</xdr:row>
          <xdr:rowOff>9525</xdr:rowOff>
        </xdr:from>
        <xdr:to>
          <xdr:col>12</xdr:col>
          <xdr:colOff>428625</xdr:colOff>
          <xdr:row>163</xdr:row>
          <xdr:rowOff>238125</xdr:rowOff>
        </xdr:to>
        <xdr:sp macro="" textlink="">
          <xdr:nvSpPr>
            <xdr:cNvPr id="136820" name="Drop Down 14964" hidden="1">
              <a:extLst>
                <a:ext uri="{63B3BB69-23CF-44E3-9099-C40C66FF867C}">
                  <a14:compatExt spid="_x0000_s136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305</xdr:row>
          <xdr:rowOff>9525</xdr:rowOff>
        </xdr:from>
        <xdr:to>
          <xdr:col>4</xdr:col>
          <xdr:colOff>381000</xdr:colOff>
          <xdr:row>305</xdr:row>
          <xdr:rowOff>200025</xdr:rowOff>
        </xdr:to>
        <xdr:sp macro="" textlink="">
          <xdr:nvSpPr>
            <xdr:cNvPr id="139226" name="Check Box 16346" hidden="1">
              <a:extLst>
                <a:ext uri="{63B3BB69-23CF-44E3-9099-C40C66FF867C}">
                  <a14:compatExt spid="_x0000_s1392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306</xdr:row>
          <xdr:rowOff>9525</xdr:rowOff>
        </xdr:from>
        <xdr:to>
          <xdr:col>4</xdr:col>
          <xdr:colOff>381000</xdr:colOff>
          <xdr:row>306</xdr:row>
          <xdr:rowOff>200025</xdr:rowOff>
        </xdr:to>
        <xdr:sp macro="" textlink="">
          <xdr:nvSpPr>
            <xdr:cNvPr id="139227" name="Check Box 16347" hidden="1">
              <a:extLst>
                <a:ext uri="{63B3BB69-23CF-44E3-9099-C40C66FF867C}">
                  <a14:compatExt spid="_x0000_s13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113</xdr:row>
          <xdr:rowOff>9525</xdr:rowOff>
        </xdr:from>
        <xdr:to>
          <xdr:col>2</xdr:col>
          <xdr:colOff>0</xdr:colOff>
          <xdr:row>114</xdr:row>
          <xdr:rowOff>0</xdr:rowOff>
        </xdr:to>
        <xdr:sp macro="" textlink="">
          <xdr:nvSpPr>
            <xdr:cNvPr id="150357" name="Drop Down 21333" hidden="1">
              <a:extLst>
                <a:ext uri="{63B3BB69-23CF-44E3-9099-C40C66FF867C}">
                  <a14:compatExt spid="_x0000_s15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112</xdr:row>
          <xdr:rowOff>190500</xdr:rowOff>
        </xdr:from>
        <xdr:to>
          <xdr:col>2</xdr:col>
          <xdr:colOff>285750</xdr:colOff>
          <xdr:row>113</xdr:row>
          <xdr:rowOff>190500</xdr:rowOff>
        </xdr:to>
        <xdr:sp macro="" textlink="">
          <xdr:nvSpPr>
            <xdr:cNvPr id="150358" name="Check Box 21334" hidden="1">
              <a:extLst>
                <a:ext uri="{63B3BB69-23CF-44E3-9099-C40C66FF867C}">
                  <a14:compatExt spid="_x0000_s1503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114</xdr:row>
          <xdr:rowOff>9525</xdr:rowOff>
        </xdr:from>
        <xdr:to>
          <xdr:col>2</xdr:col>
          <xdr:colOff>0</xdr:colOff>
          <xdr:row>115</xdr:row>
          <xdr:rowOff>0</xdr:rowOff>
        </xdr:to>
        <xdr:sp macro="" textlink="">
          <xdr:nvSpPr>
            <xdr:cNvPr id="150359" name="Drop Down 21335" hidden="1">
              <a:extLst>
                <a:ext uri="{63B3BB69-23CF-44E3-9099-C40C66FF867C}">
                  <a14:compatExt spid="_x0000_s15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113</xdr:row>
          <xdr:rowOff>190500</xdr:rowOff>
        </xdr:from>
        <xdr:to>
          <xdr:col>2</xdr:col>
          <xdr:colOff>285750</xdr:colOff>
          <xdr:row>114</xdr:row>
          <xdr:rowOff>190500</xdr:rowOff>
        </xdr:to>
        <xdr:sp macro="" textlink="">
          <xdr:nvSpPr>
            <xdr:cNvPr id="150360" name="Check Box 21336" hidden="1">
              <a:extLst>
                <a:ext uri="{63B3BB69-23CF-44E3-9099-C40C66FF867C}">
                  <a14:compatExt spid="_x0000_s150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164</xdr:row>
          <xdr:rowOff>0</xdr:rowOff>
        </xdr:from>
        <xdr:to>
          <xdr:col>12</xdr:col>
          <xdr:colOff>428625</xdr:colOff>
          <xdr:row>164</xdr:row>
          <xdr:rowOff>228600</xdr:rowOff>
        </xdr:to>
        <xdr:sp macro="" textlink="">
          <xdr:nvSpPr>
            <xdr:cNvPr id="153375" name="Drop Down 22303" hidden="1">
              <a:extLst>
                <a:ext uri="{63B3BB69-23CF-44E3-9099-C40C66FF867C}">
                  <a14:compatExt spid="_x0000_s153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165</xdr:row>
          <xdr:rowOff>0</xdr:rowOff>
        </xdr:from>
        <xdr:to>
          <xdr:col>12</xdr:col>
          <xdr:colOff>428625</xdr:colOff>
          <xdr:row>165</xdr:row>
          <xdr:rowOff>228600</xdr:rowOff>
        </xdr:to>
        <xdr:sp macro="" textlink="">
          <xdr:nvSpPr>
            <xdr:cNvPr id="153376" name="Drop Down 22304" hidden="1">
              <a:extLst>
                <a:ext uri="{63B3BB69-23CF-44E3-9099-C40C66FF867C}">
                  <a14:compatExt spid="_x0000_s153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166</xdr:row>
          <xdr:rowOff>0</xdr:rowOff>
        </xdr:from>
        <xdr:to>
          <xdr:col>12</xdr:col>
          <xdr:colOff>428625</xdr:colOff>
          <xdr:row>166</xdr:row>
          <xdr:rowOff>228600</xdr:rowOff>
        </xdr:to>
        <xdr:sp macro="" textlink="">
          <xdr:nvSpPr>
            <xdr:cNvPr id="153378" name="Drop Down 22306" hidden="1">
              <a:extLst>
                <a:ext uri="{63B3BB69-23CF-44E3-9099-C40C66FF867C}">
                  <a14:compatExt spid="_x0000_s153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167</xdr:row>
          <xdr:rowOff>0</xdr:rowOff>
        </xdr:from>
        <xdr:to>
          <xdr:col>12</xdr:col>
          <xdr:colOff>428625</xdr:colOff>
          <xdr:row>167</xdr:row>
          <xdr:rowOff>228600</xdr:rowOff>
        </xdr:to>
        <xdr:sp macro="" textlink="">
          <xdr:nvSpPr>
            <xdr:cNvPr id="153379" name="Drop Down 22307" hidden="1">
              <a:extLst>
                <a:ext uri="{63B3BB69-23CF-44E3-9099-C40C66FF867C}">
                  <a14:compatExt spid="_x0000_s153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275</xdr:row>
          <xdr:rowOff>0</xdr:rowOff>
        </xdr:from>
        <xdr:to>
          <xdr:col>0</xdr:col>
          <xdr:colOff>962025</xdr:colOff>
          <xdr:row>276</xdr:row>
          <xdr:rowOff>0</xdr:rowOff>
        </xdr:to>
        <xdr:sp macro="" textlink="">
          <xdr:nvSpPr>
            <xdr:cNvPr id="154668" name="Drop Down 22572" hidden="1">
              <a:extLst>
                <a:ext uri="{63B3BB69-23CF-44E3-9099-C40C66FF867C}">
                  <a14:compatExt spid="_x0000_s154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276</xdr:row>
          <xdr:rowOff>0</xdr:rowOff>
        </xdr:from>
        <xdr:to>
          <xdr:col>0</xdr:col>
          <xdr:colOff>962025</xdr:colOff>
          <xdr:row>277</xdr:row>
          <xdr:rowOff>0</xdr:rowOff>
        </xdr:to>
        <xdr:sp macro="" textlink="">
          <xdr:nvSpPr>
            <xdr:cNvPr id="154669" name="Drop Down 22573" hidden="1">
              <a:extLst>
                <a:ext uri="{63B3BB69-23CF-44E3-9099-C40C66FF867C}">
                  <a14:compatExt spid="_x0000_s154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253</xdr:row>
          <xdr:rowOff>9525</xdr:rowOff>
        </xdr:from>
        <xdr:to>
          <xdr:col>2</xdr:col>
          <xdr:colOff>295275</xdr:colOff>
          <xdr:row>253</xdr:row>
          <xdr:rowOff>209550</xdr:rowOff>
        </xdr:to>
        <xdr:sp macro="" textlink="">
          <xdr:nvSpPr>
            <xdr:cNvPr id="154760" name="Check Box 22664" hidden="1">
              <a:extLst>
                <a:ext uri="{63B3BB69-23CF-44E3-9099-C40C66FF867C}">
                  <a14:compatExt spid="_x0000_s1547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254</xdr:row>
          <xdr:rowOff>9525</xdr:rowOff>
        </xdr:from>
        <xdr:to>
          <xdr:col>2</xdr:col>
          <xdr:colOff>295275</xdr:colOff>
          <xdr:row>254</xdr:row>
          <xdr:rowOff>209550</xdr:rowOff>
        </xdr:to>
        <xdr:sp macro="" textlink="">
          <xdr:nvSpPr>
            <xdr:cNvPr id="154806" name="Check Box 22710" hidden="1">
              <a:extLst>
                <a:ext uri="{63B3BB69-23CF-44E3-9099-C40C66FF867C}">
                  <a14:compatExt spid="_x0000_s1548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255</xdr:row>
          <xdr:rowOff>9525</xdr:rowOff>
        </xdr:from>
        <xdr:to>
          <xdr:col>2</xdr:col>
          <xdr:colOff>295275</xdr:colOff>
          <xdr:row>255</xdr:row>
          <xdr:rowOff>209550</xdr:rowOff>
        </xdr:to>
        <xdr:sp macro="" textlink="">
          <xdr:nvSpPr>
            <xdr:cNvPr id="154807" name="Check Box 22711" hidden="1">
              <a:extLst>
                <a:ext uri="{63B3BB69-23CF-44E3-9099-C40C66FF867C}">
                  <a14:compatExt spid="_x0000_s1548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256</xdr:row>
          <xdr:rowOff>9525</xdr:rowOff>
        </xdr:from>
        <xdr:to>
          <xdr:col>2</xdr:col>
          <xdr:colOff>295275</xdr:colOff>
          <xdr:row>256</xdr:row>
          <xdr:rowOff>209550</xdr:rowOff>
        </xdr:to>
        <xdr:sp macro="" textlink="">
          <xdr:nvSpPr>
            <xdr:cNvPr id="154808" name="Check Box 22712" hidden="1">
              <a:extLst>
                <a:ext uri="{63B3BB69-23CF-44E3-9099-C40C66FF867C}">
                  <a14:compatExt spid="_x0000_s1548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257</xdr:row>
          <xdr:rowOff>9525</xdr:rowOff>
        </xdr:from>
        <xdr:to>
          <xdr:col>2</xdr:col>
          <xdr:colOff>295275</xdr:colOff>
          <xdr:row>257</xdr:row>
          <xdr:rowOff>209550</xdr:rowOff>
        </xdr:to>
        <xdr:sp macro="" textlink="">
          <xdr:nvSpPr>
            <xdr:cNvPr id="154809" name="Check Box 22713" hidden="1">
              <a:extLst>
                <a:ext uri="{63B3BB69-23CF-44E3-9099-C40C66FF867C}">
                  <a14:compatExt spid="_x0000_s1548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258</xdr:row>
          <xdr:rowOff>9525</xdr:rowOff>
        </xdr:from>
        <xdr:to>
          <xdr:col>2</xdr:col>
          <xdr:colOff>295275</xdr:colOff>
          <xdr:row>258</xdr:row>
          <xdr:rowOff>209550</xdr:rowOff>
        </xdr:to>
        <xdr:sp macro="" textlink="">
          <xdr:nvSpPr>
            <xdr:cNvPr id="154810" name="Check Box 22714" hidden="1">
              <a:extLst>
                <a:ext uri="{63B3BB69-23CF-44E3-9099-C40C66FF867C}">
                  <a14:compatExt spid="_x0000_s1548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259</xdr:row>
          <xdr:rowOff>9525</xdr:rowOff>
        </xdr:from>
        <xdr:to>
          <xdr:col>2</xdr:col>
          <xdr:colOff>295275</xdr:colOff>
          <xdr:row>259</xdr:row>
          <xdr:rowOff>209550</xdr:rowOff>
        </xdr:to>
        <xdr:sp macro="" textlink="">
          <xdr:nvSpPr>
            <xdr:cNvPr id="154811" name="Check Box 22715" hidden="1">
              <a:extLst>
                <a:ext uri="{63B3BB69-23CF-44E3-9099-C40C66FF867C}">
                  <a14:compatExt spid="_x0000_s1548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262</xdr:row>
          <xdr:rowOff>9525</xdr:rowOff>
        </xdr:from>
        <xdr:to>
          <xdr:col>2</xdr:col>
          <xdr:colOff>295275</xdr:colOff>
          <xdr:row>262</xdr:row>
          <xdr:rowOff>209550</xdr:rowOff>
        </xdr:to>
        <xdr:sp macro="" textlink="">
          <xdr:nvSpPr>
            <xdr:cNvPr id="154812" name="Check Box 22716" hidden="1">
              <a:extLst>
                <a:ext uri="{63B3BB69-23CF-44E3-9099-C40C66FF867C}">
                  <a14:compatExt spid="_x0000_s1548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263</xdr:row>
          <xdr:rowOff>9525</xdr:rowOff>
        </xdr:from>
        <xdr:to>
          <xdr:col>2</xdr:col>
          <xdr:colOff>295275</xdr:colOff>
          <xdr:row>263</xdr:row>
          <xdr:rowOff>209550</xdr:rowOff>
        </xdr:to>
        <xdr:sp macro="" textlink="">
          <xdr:nvSpPr>
            <xdr:cNvPr id="154813" name="Check Box 22717" hidden="1">
              <a:extLst>
                <a:ext uri="{63B3BB69-23CF-44E3-9099-C40C66FF867C}">
                  <a14:compatExt spid="_x0000_s1548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264</xdr:row>
          <xdr:rowOff>9525</xdr:rowOff>
        </xdr:from>
        <xdr:to>
          <xdr:col>2</xdr:col>
          <xdr:colOff>295275</xdr:colOff>
          <xdr:row>264</xdr:row>
          <xdr:rowOff>209550</xdr:rowOff>
        </xdr:to>
        <xdr:sp macro="" textlink="">
          <xdr:nvSpPr>
            <xdr:cNvPr id="154814" name="Check Box 22718" hidden="1">
              <a:extLst>
                <a:ext uri="{63B3BB69-23CF-44E3-9099-C40C66FF867C}">
                  <a14:compatExt spid="_x0000_s1548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265</xdr:row>
          <xdr:rowOff>9525</xdr:rowOff>
        </xdr:from>
        <xdr:to>
          <xdr:col>2</xdr:col>
          <xdr:colOff>295275</xdr:colOff>
          <xdr:row>265</xdr:row>
          <xdr:rowOff>209550</xdr:rowOff>
        </xdr:to>
        <xdr:sp macro="" textlink="">
          <xdr:nvSpPr>
            <xdr:cNvPr id="154815" name="Check Box 22719" hidden="1">
              <a:extLst>
                <a:ext uri="{63B3BB69-23CF-44E3-9099-C40C66FF867C}">
                  <a14:compatExt spid="_x0000_s154815"/>
                </a:ext>
              </a:extLst>
            </xdr:cNvPr>
            <xdr:cNvSpPr/>
          </xdr:nvSpPr>
          <xdr:spPr>
            <a:xfrm>
              <a:off x="0" y="0"/>
              <a:ext cx="0" cy="0"/>
            </a:xfrm>
            <a:prstGeom prst="rect">
              <a:avLst/>
            </a:prstGeom>
          </xdr:spPr>
        </xdr:sp>
        <xdr:clientData fLocksWithSheet="0"/>
      </xdr:twoCellAnchor>
    </mc:Choice>
    <mc:Fallback/>
  </mc:AlternateContent>
  <xdr:twoCellAnchor>
    <xdr:from>
      <xdr:col>3</xdr:col>
      <xdr:colOff>0</xdr:colOff>
      <xdr:row>210</xdr:row>
      <xdr:rowOff>21167</xdr:rowOff>
    </xdr:from>
    <xdr:to>
      <xdr:col>5</xdr:col>
      <xdr:colOff>0</xdr:colOff>
      <xdr:row>212</xdr:row>
      <xdr:rowOff>0</xdr:rowOff>
    </xdr:to>
    <xdr:sp macro="" textlink="">
      <xdr:nvSpPr>
        <xdr:cNvPr id="8" name="Rechteck 7"/>
        <xdr:cNvSpPr/>
      </xdr:nvSpPr>
      <xdr:spPr bwMode="auto">
        <a:xfrm>
          <a:off x="2275417" y="43391667"/>
          <a:ext cx="1016000" cy="381000"/>
        </a:xfrm>
        <a:prstGeom prst="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indent="0" algn="ctr"/>
          <a:r>
            <a:rPr lang="de-DE" sz="1000" b="1">
              <a:latin typeface="Arial" panose="020B0604020202020204" pitchFamily="34" charset="0"/>
              <a:ea typeface="+mn-ea"/>
              <a:cs typeface="Arial" panose="020B0604020202020204" pitchFamily="34" charset="0"/>
            </a:rPr>
            <a:t>flüssig</a:t>
          </a:r>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83</xdr:row>
          <xdr:rowOff>28575</xdr:rowOff>
        </xdr:from>
        <xdr:to>
          <xdr:col>6</xdr:col>
          <xdr:colOff>495300</xdr:colOff>
          <xdr:row>83</xdr:row>
          <xdr:rowOff>209550</xdr:rowOff>
        </xdr:to>
        <xdr:sp macro="" textlink="">
          <xdr:nvSpPr>
            <xdr:cNvPr id="157041" name="Drop Down 23921" hidden="1">
              <a:extLst>
                <a:ext uri="{63B3BB69-23CF-44E3-9099-C40C66FF867C}">
                  <a14:compatExt spid="_x0000_s157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83</xdr:row>
          <xdr:rowOff>0</xdr:rowOff>
        </xdr:from>
        <xdr:to>
          <xdr:col>12</xdr:col>
          <xdr:colOff>352425</xdr:colOff>
          <xdr:row>83</xdr:row>
          <xdr:rowOff>200025</xdr:rowOff>
        </xdr:to>
        <xdr:sp macro="" textlink="">
          <xdr:nvSpPr>
            <xdr:cNvPr id="157042" name="Check Box 23922" hidden="1">
              <a:extLst>
                <a:ext uri="{63B3BB69-23CF-44E3-9099-C40C66FF867C}">
                  <a14:compatExt spid="_x0000_s157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0</xdr:rowOff>
        </xdr:from>
        <xdr:to>
          <xdr:col>6</xdr:col>
          <xdr:colOff>495300</xdr:colOff>
          <xdr:row>84</xdr:row>
          <xdr:rowOff>209550</xdr:rowOff>
        </xdr:to>
        <xdr:sp macro="" textlink="">
          <xdr:nvSpPr>
            <xdr:cNvPr id="157043" name="Drop Down 23923" hidden="1">
              <a:extLst>
                <a:ext uri="{63B3BB69-23CF-44E3-9099-C40C66FF867C}">
                  <a14:compatExt spid="_x0000_s157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84</xdr:row>
          <xdr:rowOff>0</xdr:rowOff>
        </xdr:from>
        <xdr:to>
          <xdr:col>12</xdr:col>
          <xdr:colOff>352425</xdr:colOff>
          <xdr:row>84</xdr:row>
          <xdr:rowOff>200025</xdr:rowOff>
        </xdr:to>
        <xdr:sp macro="" textlink="">
          <xdr:nvSpPr>
            <xdr:cNvPr id="157044" name="Check Box 23924" hidden="1">
              <a:extLst>
                <a:ext uri="{63B3BB69-23CF-44E3-9099-C40C66FF867C}">
                  <a14:compatExt spid="_x0000_s157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75</xdr:row>
          <xdr:rowOff>228600</xdr:rowOff>
        </xdr:from>
        <xdr:to>
          <xdr:col>3</xdr:col>
          <xdr:colOff>485775</xdr:colOff>
          <xdr:row>76</xdr:row>
          <xdr:rowOff>219075</xdr:rowOff>
        </xdr:to>
        <xdr:sp macro="" textlink="">
          <xdr:nvSpPr>
            <xdr:cNvPr id="157045" name="Drop Down 23925" hidden="1">
              <a:extLst>
                <a:ext uri="{63B3BB69-23CF-44E3-9099-C40C66FF867C}">
                  <a14:compatExt spid="_x0000_s157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28575</xdr:rowOff>
        </xdr:from>
        <xdr:to>
          <xdr:col>6</xdr:col>
          <xdr:colOff>485775</xdr:colOff>
          <xdr:row>77</xdr:row>
          <xdr:rowOff>9525</xdr:rowOff>
        </xdr:to>
        <xdr:sp macro="" textlink="">
          <xdr:nvSpPr>
            <xdr:cNvPr id="157046" name="Drop Down 23926" hidden="1">
              <a:extLst>
                <a:ext uri="{63B3BB69-23CF-44E3-9099-C40C66FF867C}">
                  <a14:compatExt spid="_x0000_s157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76</xdr:row>
          <xdr:rowOff>0</xdr:rowOff>
        </xdr:from>
        <xdr:to>
          <xdr:col>12</xdr:col>
          <xdr:colOff>352425</xdr:colOff>
          <xdr:row>76</xdr:row>
          <xdr:rowOff>200025</xdr:rowOff>
        </xdr:to>
        <xdr:sp macro="" textlink="">
          <xdr:nvSpPr>
            <xdr:cNvPr id="157047" name="Check Box 23927" hidden="1">
              <a:extLst>
                <a:ext uri="{63B3BB69-23CF-44E3-9099-C40C66FF867C}">
                  <a14:compatExt spid="_x0000_s1570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77</xdr:row>
          <xdr:rowOff>9525</xdr:rowOff>
        </xdr:from>
        <xdr:to>
          <xdr:col>3</xdr:col>
          <xdr:colOff>485775</xdr:colOff>
          <xdr:row>77</xdr:row>
          <xdr:rowOff>219075</xdr:rowOff>
        </xdr:to>
        <xdr:sp macro="" textlink="">
          <xdr:nvSpPr>
            <xdr:cNvPr id="157048" name="Drop Down 23928" hidden="1">
              <a:extLst>
                <a:ext uri="{63B3BB69-23CF-44E3-9099-C40C66FF867C}">
                  <a14:compatExt spid="_x0000_s157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28575</xdr:rowOff>
        </xdr:from>
        <xdr:to>
          <xdr:col>6</xdr:col>
          <xdr:colOff>485775</xdr:colOff>
          <xdr:row>78</xdr:row>
          <xdr:rowOff>9525</xdr:rowOff>
        </xdr:to>
        <xdr:sp macro="" textlink="">
          <xdr:nvSpPr>
            <xdr:cNvPr id="157049" name="Drop Down 23929" hidden="1">
              <a:extLst>
                <a:ext uri="{63B3BB69-23CF-44E3-9099-C40C66FF867C}">
                  <a14:compatExt spid="_x0000_s157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0</xdr:rowOff>
        </xdr:from>
        <xdr:to>
          <xdr:col>12</xdr:col>
          <xdr:colOff>352425</xdr:colOff>
          <xdr:row>77</xdr:row>
          <xdr:rowOff>200025</xdr:rowOff>
        </xdr:to>
        <xdr:sp macro="" textlink="">
          <xdr:nvSpPr>
            <xdr:cNvPr id="157050" name="Check Box 23930" hidden="1">
              <a:extLst>
                <a:ext uri="{63B3BB69-23CF-44E3-9099-C40C66FF867C}">
                  <a14:compatExt spid="_x0000_s157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219075</xdr:rowOff>
        </xdr:from>
        <xdr:to>
          <xdr:col>6</xdr:col>
          <xdr:colOff>495300</xdr:colOff>
          <xdr:row>83</xdr:row>
          <xdr:rowOff>200025</xdr:rowOff>
        </xdr:to>
        <xdr:sp macro="" textlink="">
          <xdr:nvSpPr>
            <xdr:cNvPr id="157096" name="Drop Down 23976" hidden="1">
              <a:extLst>
                <a:ext uri="{63B3BB69-23CF-44E3-9099-C40C66FF867C}">
                  <a14:compatExt spid="_x0000_s157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83</xdr:row>
          <xdr:rowOff>0</xdr:rowOff>
        </xdr:from>
        <xdr:to>
          <xdr:col>12</xdr:col>
          <xdr:colOff>352425</xdr:colOff>
          <xdr:row>83</xdr:row>
          <xdr:rowOff>200025</xdr:rowOff>
        </xdr:to>
        <xdr:sp macro="" textlink="">
          <xdr:nvSpPr>
            <xdr:cNvPr id="157097" name="Check Box 23977" hidden="1">
              <a:extLst>
                <a:ext uri="{63B3BB69-23CF-44E3-9099-C40C66FF867C}">
                  <a14:compatExt spid="_x0000_s1570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115</xdr:row>
          <xdr:rowOff>9525</xdr:rowOff>
        </xdr:from>
        <xdr:to>
          <xdr:col>2</xdr:col>
          <xdr:colOff>0</xdr:colOff>
          <xdr:row>115</xdr:row>
          <xdr:rowOff>200025</xdr:rowOff>
        </xdr:to>
        <xdr:sp macro="" textlink="">
          <xdr:nvSpPr>
            <xdr:cNvPr id="157098" name="Drop Down 23978" hidden="1">
              <a:extLst>
                <a:ext uri="{63B3BB69-23CF-44E3-9099-C40C66FF867C}">
                  <a14:compatExt spid="_x0000_s157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114</xdr:row>
          <xdr:rowOff>190500</xdr:rowOff>
        </xdr:from>
        <xdr:to>
          <xdr:col>2</xdr:col>
          <xdr:colOff>285750</xdr:colOff>
          <xdr:row>115</xdr:row>
          <xdr:rowOff>190500</xdr:rowOff>
        </xdr:to>
        <xdr:sp macro="" textlink="">
          <xdr:nvSpPr>
            <xdr:cNvPr id="157099" name="Check Box 23979" hidden="1">
              <a:extLst>
                <a:ext uri="{63B3BB69-23CF-44E3-9099-C40C66FF867C}">
                  <a14:compatExt spid="_x0000_s1570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116</xdr:row>
          <xdr:rowOff>9525</xdr:rowOff>
        </xdr:from>
        <xdr:to>
          <xdr:col>2</xdr:col>
          <xdr:colOff>0</xdr:colOff>
          <xdr:row>117</xdr:row>
          <xdr:rowOff>0</xdr:rowOff>
        </xdr:to>
        <xdr:sp macro="" textlink="">
          <xdr:nvSpPr>
            <xdr:cNvPr id="157100" name="Drop Down 23980" hidden="1">
              <a:extLst>
                <a:ext uri="{63B3BB69-23CF-44E3-9099-C40C66FF867C}">
                  <a14:compatExt spid="_x0000_s157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190500</xdr:rowOff>
        </xdr:from>
        <xdr:to>
          <xdr:col>2</xdr:col>
          <xdr:colOff>285750</xdr:colOff>
          <xdr:row>116</xdr:row>
          <xdr:rowOff>190500</xdr:rowOff>
        </xdr:to>
        <xdr:sp macro="" textlink="">
          <xdr:nvSpPr>
            <xdr:cNvPr id="157101" name="Check Box 23981" hidden="1">
              <a:extLst>
                <a:ext uri="{63B3BB69-23CF-44E3-9099-C40C66FF867C}">
                  <a14:compatExt spid="_x0000_s157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116</xdr:row>
          <xdr:rowOff>190500</xdr:rowOff>
        </xdr:from>
        <xdr:to>
          <xdr:col>2</xdr:col>
          <xdr:colOff>285750</xdr:colOff>
          <xdr:row>117</xdr:row>
          <xdr:rowOff>190500</xdr:rowOff>
        </xdr:to>
        <xdr:sp macro="" textlink="">
          <xdr:nvSpPr>
            <xdr:cNvPr id="157102" name="Check Box 23982" hidden="1">
              <a:extLst>
                <a:ext uri="{63B3BB69-23CF-44E3-9099-C40C66FF867C}">
                  <a14:compatExt spid="_x0000_s157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117</xdr:row>
          <xdr:rowOff>9525</xdr:rowOff>
        </xdr:from>
        <xdr:to>
          <xdr:col>2</xdr:col>
          <xdr:colOff>0</xdr:colOff>
          <xdr:row>118</xdr:row>
          <xdr:rowOff>0</xdr:rowOff>
        </xdr:to>
        <xdr:sp macro="" textlink="">
          <xdr:nvSpPr>
            <xdr:cNvPr id="157103" name="Drop Down 23983" hidden="1">
              <a:extLst>
                <a:ext uri="{63B3BB69-23CF-44E3-9099-C40C66FF867C}">
                  <a14:compatExt spid="_x0000_s157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116</xdr:row>
          <xdr:rowOff>190500</xdr:rowOff>
        </xdr:from>
        <xdr:to>
          <xdr:col>2</xdr:col>
          <xdr:colOff>285750</xdr:colOff>
          <xdr:row>117</xdr:row>
          <xdr:rowOff>190500</xdr:rowOff>
        </xdr:to>
        <xdr:sp macro="" textlink="">
          <xdr:nvSpPr>
            <xdr:cNvPr id="157104" name="Check Box 23984" hidden="1">
              <a:extLst>
                <a:ext uri="{63B3BB69-23CF-44E3-9099-C40C66FF867C}">
                  <a14:compatExt spid="_x0000_s157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117</xdr:row>
          <xdr:rowOff>190500</xdr:rowOff>
        </xdr:from>
        <xdr:to>
          <xdr:col>2</xdr:col>
          <xdr:colOff>285750</xdr:colOff>
          <xdr:row>118</xdr:row>
          <xdr:rowOff>190500</xdr:rowOff>
        </xdr:to>
        <xdr:sp macro="" textlink="">
          <xdr:nvSpPr>
            <xdr:cNvPr id="157105" name="Check Box 23985" hidden="1">
              <a:extLst>
                <a:ext uri="{63B3BB69-23CF-44E3-9099-C40C66FF867C}">
                  <a14:compatExt spid="_x0000_s157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9525</xdr:rowOff>
        </xdr:from>
        <xdr:to>
          <xdr:col>2</xdr:col>
          <xdr:colOff>0</xdr:colOff>
          <xdr:row>118</xdr:row>
          <xdr:rowOff>200025</xdr:rowOff>
        </xdr:to>
        <xdr:sp macro="" textlink="">
          <xdr:nvSpPr>
            <xdr:cNvPr id="157106" name="Drop Down 23986" hidden="1">
              <a:extLst>
                <a:ext uri="{63B3BB69-23CF-44E3-9099-C40C66FF867C}">
                  <a14:compatExt spid="_x0000_s157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117</xdr:row>
          <xdr:rowOff>190500</xdr:rowOff>
        </xdr:from>
        <xdr:to>
          <xdr:col>2</xdr:col>
          <xdr:colOff>285750</xdr:colOff>
          <xdr:row>118</xdr:row>
          <xdr:rowOff>190500</xdr:rowOff>
        </xdr:to>
        <xdr:sp macro="" textlink="">
          <xdr:nvSpPr>
            <xdr:cNvPr id="157107" name="Check Box 23987" hidden="1">
              <a:extLst>
                <a:ext uri="{63B3BB69-23CF-44E3-9099-C40C66FF867C}">
                  <a14:compatExt spid="_x0000_s1571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118</xdr:row>
          <xdr:rowOff>190500</xdr:rowOff>
        </xdr:from>
        <xdr:to>
          <xdr:col>2</xdr:col>
          <xdr:colOff>285750</xdr:colOff>
          <xdr:row>119</xdr:row>
          <xdr:rowOff>190500</xdr:rowOff>
        </xdr:to>
        <xdr:sp macro="" textlink="">
          <xdr:nvSpPr>
            <xdr:cNvPr id="157108" name="Check Box 23988" hidden="1">
              <a:extLst>
                <a:ext uri="{63B3BB69-23CF-44E3-9099-C40C66FF867C}">
                  <a14:compatExt spid="_x0000_s157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119</xdr:row>
          <xdr:rowOff>9525</xdr:rowOff>
        </xdr:from>
        <xdr:to>
          <xdr:col>2</xdr:col>
          <xdr:colOff>0</xdr:colOff>
          <xdr:row>120</xdr:row>
          <xdr:rowOff>0</xdr:rowOff>
        </xdr:to>
        <xdr:sp macro="" textlink="">
          <xdr:nvSpPr>
            <xdr:cNvPr id="157109" name="Drop Down 23989" hidden="1">
              <a:extLst>
                <a:ext uri="{63B3BB69-23CF-44E3-9099-C40C66FF867C}">
                  <a14:compatExt spid="_x0000_s157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118</xdr:row>
          <xdr:rowOff>190500</xdr:rowOff>
        </xdr:from>
        <xdr:to>
          <xdr:col>2</xdr:col>
          <xdr:colOff>285750</xdr:colOff>
          <xdr:row>119</xdr:row>
          <xdr:rowOff>190500</xdr:rowOff>
        </xdr:to>
        <xdr:sp macro="" textlink="">
          <xdr:nvSpPr>
            <xdr:cNvPr id="157110" name="Check Box 23990" hidden="1">
              <a:extLst>
                <a:ext uri="{63B3BB69-23CF-44E3-9099-C40C66FF867C}">
                  <a14:compatExt spid="_x0000_s1571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119</xdr:row>
          <xdr:rowOff>190500</xdr:rowOff>
        </xdr:from>
        <xdr:to>
          <xdr:col>2</xdr:col>
          <xdr:colOff>285750</xdr:colOff>
          <xdr:row>120</xdr:row>
          <xdr:rowOff>190500</xdr:rowOff>
        </xdr:to>
        <xdr:sp macro="" textlink="">
          <xdr:nvSpPr>
            <xdr:cNvPr id="157111" name="Check Box 23991" hidden="1">
              <a:extLst>
                <a:ext uri="{63B3BB69-23CF-44E3-9099-C40C66FF867C}">
                  <a14:compatExt spid="_x0000_s157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120</xdr:row>
          <xdr:rowOff>9525</xdr:rowOff>
        </xdr:from>
        <xdr:to>
          <xdr:col>2</xdr:col>
          <xdr:colOff>0</xdr:colOff>
          <xdr:row>121</xdr:row>
          <xdr:rowOff>0</xdr:rowOff>
        </xdr:to>
        <xdr:sp macro="" textlink="">
          <xdr:nvSpPr>
            <xdr:cNvPr id="157112" name="Drop Down 23992" hidden="1">
              <a:extLst>
                <a:ext uri="{63B3BB69-23CF-44E3-9099-C40C66FF867C}">
                  <a14:compatExt spid="_x0000_s157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119</xdr:row>
          <xdr:rowOff>190500</xdr:rowOff>
        </xdr:from>
        <xdr:to>
          <xdr:col>2</xdr:col>
          <xdr:colOff>285750</xdr:colOff>
          <xdr:row>120</xdr:row>
          <xdr:rowOff>190500</xdr:rowOff>
        </xdr:to>
        <xdr:sp macro="" textlink="">
          <xdr:nvSpPr>
            <xdr:cNvPr id="157113" name="Check Box 23993" hidden="1">
              <a:extLst>
                <a:ext uri="{63B3BB69-23CF-44E3-9099-C40C66FF867C}">
                  <a14:compatExt spid="_x0000_s1571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120</xdr:row>
          <xdr:rowOff>190500</xdr:rowOff>
        </xdr:from>
        <xdr:to>
          <xdr:col>2</xdr:col>
          <xdr:colOff>285750</xdr:colOff>
          <xdr:row>121</xdr:row>
          <xdr:rowOff>190500</xdr:rowOff>
        </xdr:to>
        <xdr:sp macro="" textlink="">
          <xdr:nvSpPr>
            <xdr:cNvPr id="157114" name="Check Box 23994" hidden="1">
              <a:extLst>
                <a:ext uri="{63B3BB69-23CF-44E3-9099-C40C66FF867C}">
                  <a14:compatExt spid="_x0000_s157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121</xdr:row>
          <xdr:rowOff>9525</xdr:rowOff>
        </xdr:from>
        <xdr:to>
          <xdr:col>2</xdr:col>
          <xdr:colOff>0</xdr:colOff>
          <xdr:row>121</xdr:row>
          <xdr:rowOff>200025</xdr:rowOff>
        </xdr:to>
        <xdr:sp macro="" textlink="">
          <xdr:nvSpPr>
            <xdr:cNvPr id="157115" name="Drop Down 23995" hidden="1">
              <a:extLst>
                <a:ext uri="{63B3BB69-23CF-44E3-9099-C40C66FF867C}">
                  <a14:compatExt spid="_x0000_s157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120</xdr:row>
          <xdr:rowOff>190500</xdr:rowOff>
        </xdr:from>
        <xdr:to>
          <xdr:col>2</xdr:col>
          <xdr:colOff>285750</xdr:colOff>
          <xdr:row>121</xdr:row>
          <xdr:rowOff>190500</xdr:rowOff>
        </xdr:to>
        <xdr:sp macro="" textlink="">
          <xdr:nvSpPr>
            <xdr:cNvPr id="157116" name="Check Box 23996" hidden="1">
              <a:extLst>
                <a:ext uri="{63B3BB69-23CF-44E3-9099-C40C66FF867C}">
                  <a14:compatExt spid="_x0000_s1571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121</xdr:row>
          <xdr:rowOff>190500</xdr:rowOff>
        </xdr:from>
        <xdr:to>
          <xdr:col>2</xdr:col>
          <xdr:colOff>285750</xdr:colOff>
          <xdr:row>122</xdr:row>
          <xdr:rowOff>190500</xdr:rowOff>
        </xdr:to>
        <xdr:sp macro="" textlink="">
          <xdr:nvSpPr>
            <xdr:cNvPr id="157117" name="Check Box 23997" hidden="1">
              <a:extLst>
                <a:ext uri="{63B3BB69-23CF-44E3-9099-C40C66FF867C}">
                  <a14:compatExt spid="_x0000_s157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122</xdr:row>
          <xdr:rowOff>9525</xdr:rowOff>
        </xdr:from>
        <xdr:to>
          <xdr:col>2</xdr:col>
          <xdr:colOff>0</xdr:colOff>
          <xdr:row>123</xdr:row>
          <xdr:rowOff>0</xdr:rowOff>
        </xdr:to>
        <xdr:sp macro="" textlink="">
          <xdr:nvSpPr>
            <xdr:cNvPr id="157118" name="Drop Down 23998" hidden="1">
              <a:extLst>
                <a:ext uri="{63B3BB69-23CF-44E3-9099-C40C66FF867C}">
                  <a14:compatExt spid="_x0000_s157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121</xdr:row>
          <xdr:rowOff>190500</xdr:rowOff>
        </xdr:from>
        <xdr:to>
          <xdr:col>2</xdr:col>
          <xdr:colOff>285750</xdr:colOff>
          <xdr:row>122</xdr:row>
          <xdr:rowOff>190500</xdr:rowOff>
        </xdr:to>
        <xdr:sp macro="" textlink="">
          <xdr:nvSpPr>
            <xdr:cNvPr id="157119" name="Check Box 23999" hidden="1">
              <a:extLst>
                <a:ext uri="{63B3BB69-23CF-44E3-9099-C40C66FF867C}">
                  <a14:compatExt spid="_x0000_s1571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122</xdr:row>
          <xdr:rowOff>190500</xdr:rowOff>
        </xdr:from>
        <xdr:to>
          <xdr:col>2</xdr:col>
          <xdr:colOff>285750</xdr:colOff>
          <xdr:row>123</xdr:row>
          <xdr:rowOff>190500</xdr:rowOff>
        </xdr:to>
        <xdr:sp macro="" textlink="">
          <xdr:nvSpPr>
            <xdr:cNvPr id="157120" name="Check Box 24000" hidden="1">
              <a:extLst>
                <a:ext uri="{63B3BB69-23CF-44E3-9099-C40C66FF867C}">
                  <a14:compatExt spid="_x0000_s157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123</xdr:row>
          <xdr:rowOff>9525</xdr:rowOff>
        </xdr:from>
        <xdr:to>
          <xdr:col>2</xdr:col>
          <xdr:colOff>0</xdr:colOff>
          <xdr:row>124</xdr:row>
          <xdr:rowOff>0</xdr:rowOff>
        </xdr:to>
        <xdr:sp macro="" textlink="">
          <xdr:nvSpPr>
            <xdr:cNvPr id="157121" name="Drop Down 24001" hidden="1">
              <a:extLst>
                <a:ext uri="{63B3BB69-23CF-44E3-9099-C40C66FF867C}">
                  <a14:compatExt spid="_x0000_s157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122</xdr:row>
          <xdr:rowOff>190500</xdr:rowOff>
        </xdr:from>
        <xdr:to>
          <xdr:col>2</xdr:col>
          <xdr:colOff>285750</xdr:colOff>
          <xdr:row>123</xdr:row>
          <xdr:rowOff>190500</xdr:rowOff>
        </xdr:to>
        <xdr:sp macro="" textlink="">
          <xdr:nvSpPr>
            <xdr:cNvPr id="157122" name="Check Box 24002" hidden="1">
              <a:extLst>
                <a:ext uri="{63B3BB69-23CF-44E3-9099-C40C66FF867C}">
                  <a14:compatExt spid="_x0000_s157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123</xdr:row>
          <xdr:rowOff>190500</xdr:rowOff>
        </xdr:from>
        <xdr:to>
          <xdr:col>2</xdr:col>
          <xdr:colOff>285750</xdr:colOff>
          <xdr:row>124</xdr:row>
          <xdr:rowOff>190500</xdr:rowOff>
        </xdr:to>
        <xdr:sp macro="" textlink="">
          <xdr:nvSpPr>
            <xdr:cNvPr id="157123" name="Check Box 24003" hidden="1">
              <a:extLst>
                <a:ext uri="{63B3BB69-23CF-44E3-9099-C40C66FF867C}">
                  <a14:compatExt spid="_x0000_s157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124</xdr:row>
          <xdr:rowOff>9525</xdr:rowOff>
        </xdr:from>
        <xdr:to>
          <xdr:col>2</xdr:col>
          <xdr:colOff>0</xdr:colOff>
          <xdr:row>124</xdr:row>
          <xdr:rowOff>200025</xdr:rowOff>
        </xdr:to>
        <xdr:sp macro="" textlink="">
          <xdr:nvSpPr>
            <xdr:cNvPr id="157124" name="Drop Down 24004" hidden="1">
              <a:extLst>
                <a:ext uri="{63B3BB69-23CF-44E3-9099-C40C66FF867C}">
                  <a14:compatExt spid="_x0000_s157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123</xdr:row>
          <xdr:rowOff>190500</xdr:rowOff>
        </xdr:from>
        <xdr:to>
          <xdr:col>2</xdr:col>
          <xdr:colOff>285750</xdr:colOff>
          <xdr:row>124</xdr:row>
          <xdr:rowOff>190500</xdr:rowOff>
        </xdr:to>
        <xdr:sp macro="" textlink="">
          <xdr:nvSpPr>
            <xdr:cNvPr id="157125" name="Check Box 24005" hidden="1">
              <a:extLst>
                <a:ext uri="{63B3BB69-23CF-44E3-9099-C40C66FF867C}">
                  <a14:compatExt spid="_x0000_s157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124</xdr:row>
          <xdr:rowOff>190500</xdr:rowOff>
        </xdr:from>
        <xdr:to>
          <xdr:col>2</xdr:col>
          <xdr:colOff>285750</xdr:colOff>
          <xdr:row>125</xdr:row>
          <xdr:rowOff>190500</xdr:rowOff>
        </xdr:to>
        <xdr:sp macro="" textlink="">
          <xdr:nvSpPr>
            <xdr:cNvPr id="157126" name="Check Box 24006" hidden="1">
              <a:extLst>
                <a:ext uri="{63B3BB69-23CF-44E3-9099-C40C66FF867C}">
                  <a14:compatExt spid="_x0000_s157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125</xdr:row>
          <xdr:rowOff>9525</xdr:rowOff>
        </xdr:from>
        <xdr:to>
          <xdr:col>2</xdr:col>
          <xdr:colOff>0</xdr:colOff>
          <xdr:row>126</xdr:row>
          <xdr:rowOff>0</xdr:rowOff>
        </xdr:to>
        <xdr:sp macro="" textlink="">
          <xdr:nvSpPr>
            <xdr:cNvPr id="157127" name="Drop Down 24007" hidden="1">
              <a:extLst>
                <a:ext uri="{63B3BB69-23CF-44E3-9099-C40C66FF867C}">
                  <a14:compatExt spid="_x0000_s157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124</xdr:row>
          <xdr:rowOff>190500</xdr:rowOff>
        </xdr:from>
        <xdr:to>
          <xdr:col>2</xdr:col>
          <xdr:colOff>285750</xdr:colOff>
          <xdr:row>125</xdr:row>
          <xdr:rowOff>190500</xdr:rowOff>
        </xdr:to>
        <xdr:sp macro="" textlink="">
          <xdr:nvSpPr>
            <xdr:cNvPr id="157128" name="Check Box 24008" hidden="1">
              <a:extLst>
                <a:ext uri="{63B3BB69-23CF-44E3-9099-C40C66FF867C}">
                  <a14:compatExt spid="_x0000_s157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125</xdr:row>
          <xdr:rowOff>190500</xdr:rowOff>
        </xdr:from>
        <xdr:to>
          <xdr:col>2</xdr:col>
          <xdr:colOff>285750</xdr:colOff>
          <xdr:row>126</xdr:row>
          <xdr:rowOff>190500</xdr:rowOff>
        </xdr:to>
        <xdr:sp macro="" textlink="">
          <xdr:nvSpPr>
            <xdr:cNvPr id="157129" name="Check Box 24009" hidden="1">
              <a:extLst>
                <a:ext uri="{63B3BB69-23CF-44E3-9099-C40C66FF867C}">
                  <a14:compatExt spid="_x0000_s157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126</xdr:row>
          <xdr:rowOff>9525</xdr:rowOff>
        </xdr:from>
        <xdr:to>
          <xdr:col>2</xdr:col>
          <xdr:colOff>0</xdr:colOff>
          <xdr:row>127</xdr:row>
          <xdr:rowOff>0</xdr:rowOff>
        </xdr:to>
        <xdr:sp macro="" textlink="">
          <xdr:nvSpPr>
            <xdr:cNvPr id="157130" name="Drop Down 24010" hidden="1">
              <a:extLst>
                <a:ext uri="{63B3BB69-23CF-44E3-9099-C40C66FF867C}">
                  <a14:compatExt spid="_x0000_s157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125</xdr:row>
          <xdr:rowOff>190500</xdr:rowOff>
        </xdr:from>
        <xdr:to>
          <xdr:col>2</xdr:col>
          <xdr:colOff>285750</xdr:colOff>
          <xdr:row>126</xdr:row>
          <xdr:rowOff>190500</xdr:rowOff>
        </xdr:to>
        <xdr:sp macro="" textlink="">
          <xdr:nvSpPr>
            <xdr:cNvPr id="157131" name="Check Box 24011" hidden="1">
              <a:extLst>
                <a:ext uri="{63B3BB69-23CF-44E3-9099-C40C66FF867C}">
                  <a14:compatExt spid="_x0000_s157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126</xdr:row>
          <xdr:rowOff>190500</xdr:rowOff>
        </xdr:from>
        <xdr:to>
          <xdr:col>2</xdr:col>
          <xdr:colOff>285750</xdr:colOff>
          <xdr:row>127</xdr:row>
          <xdr:rowOff>190500</xdr:rowOff>
        </xdr:to>
        <xdr:sp macro="" textlink="">
          <xdr:nvSpPr>
            <xdr:cNvPr id="157132" name="Check Box 24012" hidden="1">
              <a:extLst>
                <a:ext uri="{63B3BB69-23CF-44E3-9099-C40C66FF867C}">
                  <a14:compatExt spid="_x0000_s157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127</xdr:row>
          <xdr:rowOff>9525</xdr:rowOff>
        </xdr:from>
        <xdr:to>
          <xdr:col>2</xdr:col>
          <xdr:colOff>0</xdr:colOff>
          <xdr:row>127</xdr:row>
          <xdr:rowOff>200025</xdr:rowOff>
        </xdr:to>
        <xdr:sp macro="" textlink="">
          <xdr:nvSpPr>
            <xdr:cNvPr id="157133" name="Drop Down 24013" hidden="1">
              <a:extLst>
                <a:ext uri="{63B3BB69-23CF-44E3-9099-C40C66FF867C}">
                  <a14:compatExt spid="_x0000_s157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126</xdr:row>
          <xdr:rowOff>190500</xdr:rowOff>
        </xdr:from>
        <xdr:to>
          <xdr:col>2</xdr:col>
          <xdr:colOff>285750</xdr:colOff>
          <xdr:row>127</xdr:row>
          <xdr:rowOff>190500</xdr:rowOff>
        </xdr:to>
        <xdr:sp macro="" textlink="">
          <xdr:nvSpPr>
            <xdr:cNvPr id="157134" name="Check Box 24014" hidden="1">
              <a:extLst>
                <a:ext uri="{63B3BB69-23CF-44E3-9099-C40C66FF867C}">
                  <a14:compatExt spid="_x0000_s157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127</xdr:row>
          <xdr:rowOff>190500</xdr:rowOff>
        </xdr:from>
        <xdr:to>
          <xdr:col>2</xdr:col>
          <xdr:colOff>285750</xdr:colOff>
          <xdr:row>128</xdr:row>
          <xdr:rowOff>190500</xdr:rowOff>
        </xdr:to>
        <xdr:sp macro="" textlink="">
          <xdr:nvSpPr>
            <xdr:cNvPr id="157135" name="Check Box 24015" hidden="1">
              <a:extLst>
                <a:ext uri="{63B3BB69-23CF-44E3-9099-C40C66FF867C}">
                  <a14:compatExt spid="_x0000_s157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128</xdr:row>
          <xdr:rowOff>9525</xdr:rowOff>
        </xdr:from>
        <xdr:to>
          <xdr:col>2</xdr:col>
          <xdr:colOff>0</xdr:colOff>
          <xdr:row>129</xdr:row>
          <xdr:rowOff>0</xdr:rowOff>
        </xdr:to>
        <xdr:sp macro="" textlink="">
          <xdr:nvSpPr>
            <xdr:cNvPr id="157136" name="Drop Down 24016" hidden="1">
              <a:extLst>
                <a:ext uri="{63B3BB69-23CF-44E3-9099-C40C66FF867C}">
                  <a14:compatExt spid="_x0000_s157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127</xdr:row>
          <xdr:rowOff>190500</xdr:rowOff>
        </xdr:from>
        <xdr:to>
          <xdr:col>2</xdr:col>
          <xdr:colOff>285750</xdr:colOff>
          <xdr:row>128</xdr:row>
          <xdr:rowOff>190500</xdr:rowOff>
        </xdr:to>
        <xdr:sp macro="" textlink="">
          <xdr:nvSpPr>
            <xdr:cNvPr id="157137" name="Check Box 24017" hidden="1">
              <a:extLst>
                <a:ext uri="{63B3BB69-23CF-44E3-9099-C40C66FF867C}">
                  <a14:compatExt spid="_x0000_s157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128</xdr:row>
          <xdr:rowOff>190500</xdr:rowOff>
        </xdr:from>
        <xdr:to>
          <xdr:col>2</xdr:col>
          <xdr:colOff>285750</xdr:colOff>
          <xdr:row>129</xdr:row>
          <xdr:rowOff>190500</xdr:rowOff>
        </xdr:to>
        <xdr:sp macro="" textlink="">
          <xdr:nvSpPr>
            <xdr:cNvPr id="157138" name="Check Box 24018" hidden="1">
              <a:extLst>
                <a:ext uri="{63B3BB69-23CF-44E3-9099-C40C66FF867C}">
                  <a14:compatExt spid="_x0000_s157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129</xdr:row>
          <xdr:rowOff>0</xdr:rowOff>
        </xdr:from>
        <xdr:to>
          <xdr:col>2</xdr:col>
          <xdr:colOff>0</xdr:colOff>
          <xdr:row>129</xdr:row>
          <xdr:rowOff>190500</xdr:rowOff>
        </xdr:to>
        <xdr:sp macro="" textlink="">
          <xdr:nvSpPr>
            <xdr:cNvPr id="157139" name="Drop Down 24019" hidden="1">
              <a:extLst>
                <a:ext uri="{63B3BB69-23CF-44E3-9099-C40C66FF867C}">
                  <a14:compatExt spid="_x0000_s157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128</xdr:row>
          <xdr:rowOff>190500</xdr:rowOff>
        </xdr:from>
        <xdr:to>
          <xdr:col>2</xdr:col>
          <xdr:colOff>285750</xdr:colOff>
          <xdr:row>129</xdr:row>
          <xdr:rowOff>190500</xdr:rowOff>
        </xdr:to>
        <xdr:sp macro="" textlink="">
          <xdr:nvSpPr>
            <xdr:cNvPr id="157140" name="Check Box 24020" hidden="1">
              <a:extLst>
                <a:ext uri="{63B3BB69-23CF-44E3-9099-C40C66FF867C}">
                  <a14:compatExt spid="_x0000_s1571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137</xdr:row>
          <xdr:rowOff>9525</xdr:rowOff>
        </xdr:from>
        <xdr:to>
          <xdr:col>5</xdr:col>
          <xdr:colOff>485775</xdr:colOff>
          <xdr:row>138</xdr:row>
          <xdr:rowOff>0</xdr:rowOff>
        </xdr:to>
        <xdr:sp macro="" textlink="">
          <xdr:nvSpPr>
            <xdr:cNvPr id="157191" name="Drop Down 24071" hidden="1">
              <a:extLst>
                <a:ext uri="{63B3BB69-23CF-44E3-9099-C40C66FF867C}">
                  <a14:compatExt spid="_x0000_s15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137</xdr:row>
          <xdr:rowOff>19050</xdr:rowOff>
        </xdr:from>
        <xdr:to>
          <xdr:col>2</xdr:col>
          <xdr:colOff>285750</xdr:colOff>
          <xdr:row>138</xdr:row>
          <xdr:rowOff>19050</xdr:rowOff>
        </xdr:to>
        <xdr:sp macro="" textlink="">
          <xdr:nvSpPr>
            <xdr:cNvPr id="157192" name="Check Box 24072" hidden="1">
              <a:extLst>
                <a:ext uri="{63B3BB69-23CF-44E3-9099-C40C66FF867C}">
                  <a14:compatExt spid="_x0000_s15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138</xdr:row>
          <xdr:rowOff>9525</xdr:rowOff>
        </xdr:from>
        <xdr:to>
          <xdr:col>5</xdr:col>
          <xdr:colOff>485775</xdr:colOff>
          <xdr:row>138</xdr:row>
          <xdr:rowOff>200025</xdr:rowOff>
        </xdr:to>
        <xdr:sp macro="" textlink="">
          <xdr:nvSpPr>
            <xdr:cNvPr id="157193" name="Drop Down 24073" hidden="1">
              <a:extLst>
                <a:ext uri="{63B3BB69-23CF-44E3-9099-C40C66FF867C}">
                  <a14:compatExt spid="_x0000_s15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138</xdr:row>
          <xdr:rowOff>19050</xdr:rowOff>
        </xdr:from>
        <xdr:to>
          <xdr:col>2</xdr:col>
          <xdr:colOff>285750</xdr:colOff>
          <xdr:row>139</xdr:row>
          <xdr:rowOff>19050</xdr:rowOff>
        </xdr:to>
        <xdr:sp macro="" textlink="">
          <xdr:nvSpPr>
            <xdr:cNvPr id="157194" name="Check Box 24074" hidden="1">
              <a:extLst>
                <a:ext uri="{63B3BB69-23CF-44E3-9099-C40C66FF867C}">
                  <a14:compatExt spid="_x0000_s1571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139</xdr:row>
          <xdr:rowOff>9525</xdr:rowOff>
        </xdr:from>
        <xdr:to>
          <xdr:col>5</xdr:col>
          <xdr:colOff>485775</xdr:colOff>
          <xdr:row>140</xdr:row>
          <xdr:rowOff>0</xdr:rowOff>
        </xdr:to>
        <xdr:sp macro="" textlink="">
          <xdr:nvSpPr>
            <xdr:cNvPr id="157195" name="Drop Down 24075" hidden="1">
              <a:extLst>
                <a:ext uri="{63B3BB69-23CF-44E3-9099-C40C66FF867C}">
                  <a14:compatExt spid="_x0000_s15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139</xdr:row>
          <xdr:rowOff>19050</xdr:rowOff>
        </xdr:from>
        <xdr:to>
          <xdr:col>2</xdr:col>
          <xdr:colOff>285750</xdr:colOff>
          <xdr:row>140</xdr:row>
          <xdr:rowOff>19050</xdr:rowOff>
        </xdr:to>
        <xdr:sp macro="" textlink="">
          <xdr:nvSpPr>
            <xdr:cNvPr id="157196" name="Check Box 24076" hidden="1">
              <a:extLst>
                <a:ext uri="{63B3BB69-23CF-44E3-9099-C40C66FF867C}">
                  <a14:compatExt spid="_x0000_s1571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140</xdr:row>
          <xdr:rowOff>9525</xdr:rowOff>
        </xdr:from>
        <xdr:to>
          <xdr:col>5</xdr:col>
          <xdr:colOff>485775</xdr:colOff>
          <xdr:row>141</xdr:row>
          <xdr:rowOff>0</xdr:rowOff>
        </xdr:to>
        <xdr:sp macro="" textlink="">
          <xdr:nvSpPr>
            <xdr:cNvPr id="157197" name="Drop Down 24077" hidden="1">
              <a:extLst>
                <a:ext uri="{63B3BB69-23CF-44E3-9099-C40C66FF867C}">
                  <a14:compatExt spid="_x0000_s15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140</xdr:row>
          <xdr:rowOff>19050</xdr:rowOff>
        </xdr:from>
        <xdr:to>
          <xdr:col>2</xdr:col>
          <xdr:colOff>285750</xdr:colOff>
          <xdr:row>141</xdr:row>
          <xdr:rowOff>19050</xdr:rowOff>
        </xdr:to>
        <xdr:sp macro="" textlink="">
          <xdr:nvSpPr>
            <xdr:cNvPr id="157198" name="Check Box 24078" hidden="1">
              <a:extLst>
                <a:ext uri="{63B3BB69-23CF-44E3-9099-C40C66FF867C}">
                  <a14:compatExt spid="_x0000_s1571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141</xdr:row>
          <xdr:rowOff>9525</xdr:rowOff>
        </xdr:from>
        <xdr:to>
          <xdr:col>5</xdr:col>
          <xdr:colOff>485775</xdr:colOff>
          <xdr:row>141</xdr:row>
          <xdr:rowOff>200025</xdr:rowOff>
        </xdr:to>
        <xdr:sp macro="" textlink="">
          <xdr:nvSpPr>
            <xdr:cNvPr id="157199" name="Drop Down 24079" hidden="1">
              <a:extLst>
                <a:ext uri="{63B3BB69-23CF-44E3-9099-C40C66FF867C}">
                  <a14:compatExt spid="_x0000_s15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141</xdr:row>
          <xdr:rowOff>19050</xdr:rowOff>
        </xdr:from>
        <xdr:to>
          <xdr:col>2</xdr:col>
          <xdr:colOff>285750</xdr:colOff>
          <xdr:row>142</xdr:row>
          <xdr:rowOff>19050</xdr:rowOff>
        </xdr:to>
        <xdr:sp macro="" textlink="">
          <xdr:nvSpPr>
            <xdr:cNvPr id="157200" name="Check Box 24080" hidden="1">
              <a:extLst>
                <a:ext uri="{63B3BB69-23CF-44E3-9099-C40C66FF867C}">
                  <a14:compatExt spid="_x0000_s1572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142</xdr:row>
          <xdr:rowOff>9525</xdr:rowOff>
        </xdr:from>
        <xdr:to>
          <xdr:col>5</xdr:col>
          <xdr:colOff>485775</xdr:colOff>
          <xdr:row>143</xdr:row>
          <xdr:rowOff>0</xdr:rowOff>
        </xdr:to>
        <xdr:sp macro="" textlink="">
          <xdr:nvSpPr>
            <xdr:cNvPr id="157201" name="Drop Down 24081" hidden="1">
              <a:extLst>
                <a:ext uri="{63B3BB69-23CF-44E3-9099-C40C66FF867C}">
                  <a14:compatExt spid="_x0000_s15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142</xdr:row>
          <xdr:rowOff>19050</xdr:rowOff>
        </xdr:from>
        <xdr:to>
          <xdr:col>2</xdr:col>
          <xdr:colOff>285750</xdr:colOff>
          <xdr:row>143</xdr:row>
          <xdr:rowOff>19050</xdr:rowOff>
        </xdr:to>
        <xdr:sp macro="" textlink="">
          <xdr:nvSpPr>
            <xdr:cNvPr id="157202" name="Check Box 24082" hidden="1">
              <a:extLst>
                <a:ext uri="{63B3BB69-23CF-44E3-9099-C40C66FF867C}">
                  <a14:compatExt spid="_x0000_s1572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143</xdr:row>
          <xdr:rowOff>9525</xdr:rowOff>
        </xdr:from>
        <xdr:to>
          <xdr:col>5</xdr:col>
          <xdr:colOff>485775</xdr:colOff>
          <xdr:row>144</xdr:row>
          <xdr:rowOff>0</xdr:rowOff>
        </xdr:to>
        <xdr:sp macro="" textlink="">
          <xdr:nvSpPr>
            <xdr:cNvPr id="157203" name="Drop Down 24083" hidden="1">
              <a:extLst>
                <a:ext uri="{63B3BB69-23CF-44E3-9099-C40C66FF867C}">
                  <a14:compatExt spid="_x0000_s15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143</xdr:row>
          <xdr:rowOff>19050</xdr:rowOff>
        </xdr:from>
        <xdr:to>
          <xdr:col>2</xdr:col>
          <xdr:colOff>285750</xdr:colOff>
          <xdr:row>144</xdr:row>
          <xdr:rowOff>19050</xdr:rowOff>
        </xdr:to>
        <xdr:sp macro="" textlink="">
          <xdr:nvSpPr>
            <xdr:cNvPr id="157204" name="Check Box 24084" hidden="1">
              <a:extLst>
                <a:ext uri="{63B3BB69-23CF-44E3-9099-C40C66FF867C}">
                  <a14:compatExt spid="_x0000_s1572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144</xdr:row>
          <xdr:rowOff>9525</xdr:rowOff>
        </xdr:from>
        <xdr:to>
          <xdr:col>5</xdr:col>
          <xdr:colOff>485775</xdr:colOff>
          <xdr:row>144</xdr:row>
          <xdr:rowOff>200025</xdr:rowOff>
        </xdr:to>
        <xdr:sp macro="" textlink="">
          <xdr:nvSpPr>
            <xdr:cNvPr id="157205" name="Drop Down 24085" hidden="1">
              <a:extLst>
                <a:ext uri="{63B3BB69-23CF-44E3-9099-C40C66FF867C}">
                  <a14:compatExt spid="_x0000_s15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144</xdr:row>
          <xdr:rowOff>19050</xdr:rowOff>
        </xdr:from>
        <xdr:to>
          <xdr:col>2</xdr:col>
          <xdr:colOff>285750</xdr:colOff>
          <xdr:row>145</xdr:row>
          <xdr:rowOff>19050</xdr:rowOff>
        </xdr:to>
        <xdr:sp macro="" textlink="">
          <xdr:nvSpPr>
            <xdr:cNvPr id="157206" name="Check Box 24086" hidden="1">
              <a:extLst>
                <a:ext uri="{63B3BB69-23CF-44E3-9099-C40C66FF867C}">
                  <a14:compatExt spid="_x0000_s157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145</xdr:row>
          <xdr:rowOff>9525</xdr:rowOff>
        </xdr:from>
        <xdr:to>
          <xdr:col>5</xdr:col>
          <xdr:colOff>485775</xdr:colOff>
          <xdr:row>146</xdr:row>
          <xdr:rowOff>0</xdr:rowOff>
        </xdr:to>
        <xdr:sp macro="" textlink="">
          <xdr:nvSpPr>
            <xdr:cNvPr id="157207" name="Drop Down 24087" hidden="1">
              <a:extLst>
                <a:ext uri="{63B3BB69-23CF-44E3-9099-C40C66FF867C}">
                  <a14:compatExt spid="_x0000_s15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145</xdr:row>
          <xdr:rowOff>19050</xdr:rowOff>
        </xdr:from>
        <xdr:to>
          <xdr:col>2</xdr:col>
          <xdr:colOff>285750</xdr:colOff>
          <xdr:row>146</xdr:row>
          <xdr:rowOff>19050</xdr:rowOff>
        </xdr:to>
        <xdr:sp macro="" textlink="">
          <xdr:nvSpPr>
            <xdr:cNvPr id="157208" name="Check Box 24088" hidden="1">
              <a:extLst>
                <a:ext uri="{63B3BB69-23CF-44E3-9099-C40C66FF867C}">
                  <a14:compatExt spid="_x0000_s157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146</xdr:row>
          <xdr:rowOff>9525</xdr:rowOff>
        </xdr:from>
        <xdr:to>
          <xdr:col>5</xdr:col>
          <xdr:colOff>485775</xdr:colOff>
          <xdr:row>147</xdr:row>
          <xdr:rowOff>0</xdr:rowOff>
        </xdr:to>
        <xdr:sp macro="" textlink="">
          <xdr:nvSpPr>
            <xdr:cNvPr id="157209" name="Drop Down 24089" hidden="1">
              <a:extLst>
                <a:ext uri="{63B3BB69-23CF-44E3-9099-C40C66FF867C}">
                  <a14:compatExt spid="_x0000_s15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146</xdr:row>
          <xdr:rowOff>19050</xdr:rowOff>
        </xdr:from>
        <xdr:to>
          <xdr:col>2</xdr:col>
          <xdr:colOff>285750</xdr:colOff>
          <xdr:row>147</xdr:row>
          <xdr:rowOff>19050</xdr:rowOff>
        </xdr:to>
        <xdr:sp macro="" textlink="">
          <xdr:nvSpPr>
            <xdr:cNvPr id="157210" name="Check Box 24090" hidden="1">
              <a:extLst>
                <a:ext uri="{63B3BB69-23CF-44E3-9099-C40C66FF867C}">
                  <a14:compatExt spid="_x0000_s157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147</xdr:row>
          <xdr:rowOff>9525</xdr:rowOff>
        </xdr:from>
        <xdr:to>
          <xdr:col>5</xdr:col>
          <xdr:colOff>485775</xdr:colOff>
          <xdr:row>147</xdr:row>
          <xdr:rowOff>200025</xdr:rowOff>
        </xdr:to>
        <xdr:sp macro="" textlink="">
          <xdr:nvSpPr>
            <xdr:cNvPr id="157211" name="Drop Down 24091" hidden="1">
              <a:extLst>
                <a:ext uri="{63B3BB69-23CF-44E3-9099-C40C66FF867C}">
                  <a14:compatExt spid="_x0000_s15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147</xdr:row>
          <xdr:rowOff>19050</xdr:rowOff>
        </xdr:from>
        <xdr:to>
          <xdr:col>2</xdr:col>
          <xdr:colOff>285750</xdr:colOff>
          <xdr:row>148</xdr:row>
          <xdr:rowOff>19050</xdr:rowOff>
        </xdr:to>
        <xdr:sp macro="" textlink="">
          <xdr:nvSpPr>
            <xdr:cNvPr id="157212" name="Check Box 24092" hidden="1">
              <a:extLst>
                <a:ext uri="{63B3BB69-23CF-44E3-9099-C40C66FF867C}">
                  <a14:compatExt spid="_x0000_s157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148</xdr:row>
          <xdr:rowOff>9525</xdr:rowOff>
        </xdr:from>
        <xdr:to>
          <xdr:col>5</xdr:col>
          <xdr:colOff>485775</xdr:colOff>
          <xdr:row>149</xdr:row>
          <xdr:rowOff>0</xdr:rowOff>
        </xdr:to>
        <xdr:sp macro="" textlink="">
          <xdr:nvSpPr>
            <xdr:cNvPr id="157213" name="Drop Down 24093" hidden="1">
              <a:extLst>
                <a:ext uri="{63B3BB69-23CF-44E3-9099-C40C66FF867C}">
                  <a14:compatExt spid="_x0000_s15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148</xdr:row>
          <xdr:rowOff>19050</xdr:rowOff>
        </xdr:from>
        <xdr:to>
          <xdr:col>2</xdr:col>
          <xdr:colOff>285750</xdr:colOff>
          <xdr:row>149</xdr:row>
          <xdr:rowOff>19050</xdr:rowOff>
        </xdr:to>
        <xdr:sp macro="" textlink="">
          <xdr:nvSpPr>
            <xdr:cNvPr id="157214" name="Check Box 24094" hidden="1">
              <a:extLst>
                <a:ext uri="{63B3BB69-23CF-44E3-9099-C40C66FF867C}">
                  <a14:compatExt spid="_x0000_s157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149</xdr:row>
          <xdr:rowOff>9525</xdr:rowOff>
        </xdr:from>
        <xdr:to>
          <xdr:col>5</xdr:col>
          <xdr:colOff>485775</xdr:colOff>
          <xdr:row>150</xdr:row>
          <xdr:rowOff>0</xdr:rowOff>
        </xdr:to>
        <xdr:sp macro="" textlink="">
          <xdr:nvSpPr>
            <xdr:cNvPr id="157215" name="Drop Down 24095" hidden="1">
              <a:extLst>
                <a:ext uri="{63B3BB69-23CF-44E3-9099-C40C66FF867C}">
                  <a14:compatExt spid="_x0000_s15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149</xdr:row>
          <xdr:rowOff>19050</xdr:rowOff>
        </xdr:from>
        <xdr:to>
          <xdr:col>2</xdr:col>
          <xdr:colOff>285750</xdr:colOff>
          <xdr:row>150</xdr:row>
          <xdr:rowOff>19050</xdr:rowOff>
        </xdr:to>
        <xdr:sp macro="" textlink="">
          <xdr:nvSpPr>
            <xdr:cNvPr id="157216" name="Check Box 24096" hidden="1">
              <a:extLst>
                <a:ext uri="{63B3BB69-23CF-44E3-9099-C40C66FF867C}">
                  <a14:compatExt spid="_x0000_s157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150</xdr:row>
          <xdr:rowOff>9525</xdr:rowOff>
        </xdr:from>
        <xdr:to>
          <xdr:col>5</xdr:col>
          <xdr:colOff>485775</xdr:colOff>
          <xdr:row>150</xdr:row>
          <xdr:rowOff>200025</xdr:rowOff>
        </xdr:to>
        <xdr:sp macro="" textlink="">
          <xdr:nvSpPr>
            <xdr:cNvPr id="157217" name="Drop Down 24097" hidden="1">
              <a:extLst>
                <a:ext uri="{63B3BB69-23CF-44E3-9099-C40C66FF867C}">
                  <a14:compatExt spid="_x0000_s15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150</xdr:row>
          <xdr:rowOff>19050</xdr:rowOff>
        </xdr:from>
        <xdr:to>
          <xdr:col>2</xdr:col>
          <xdr:colOff>285750</xdr:colOff>
          <xdr:row>151</xdr:row>
          <xdr:rowOff>19050</xdr:rowOff>
        </xdr:to>
        <xdr:sp macro="" textlink="">
          <xdr:nvSpPr>
            <xdr:cNvPr id="157218" name="Check Box 24098" hidden="1">
              <a:extLst>
                <a:ext uri="{63B3BB69-23CF-44E3-9099-C40C66FF867C}">
                  <a14:compatExt spid="_x0000_s157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151</xdr:row>
          <xdr:rowOff>9525</xdr:rowOff>
        </xdr:from>
        <xdr:to>
          <xdr:col>5</xdr:col>
          <xdr:colOff>485775</xdr:colOff>
          <xdr:row>152</xdr:row>
          <xdr:rowOff>0</xdr:rowOff>
        </xdr:to>
        <xdr:sp macro="" textlink="">
          <xdr:nvSpPr>
            <xdr:cNvPr id="157219" name="Drop Down 24099" hidden="1">
              <a:extLst>
                <a:ext uri="{63B3BB69-23CF-44E3-9099-C40C66FF867C}">
                  <a14:compatExt spid="_x0000_s15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151</xdr:row>
          <xdr:rowOff>19050</xdr:rowOff>
        </xdr:from>
        <xdr:to>
          <xdr:col>2</xdr:col>
          <xdr:colOff>285750</xdr:colOff>
          <xdr:row>152</xdr:row>
          <xdr:rowOff>19050</xdr:rowOff>
        </xdr:to>
        <xdr:sp macro="" textlink="">
          <xdr:nvSpPr>
            <xdr:cNvPr id="157220" name="Check Box 24100" hidden="1">
              <a:extLst>
                <a:ext uri="{63B3BB69-23CF-44E3-9099-C40C66FF867C}">
                  <a14:compatExt spid="_x0000_s157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152</xdr:row>
          <xdr:rowOff>9525</xdr:rowOff>
        </xdr:from>
        <xdr:to>
          <xdr:col>5</xdr:col>
          <xdr:colOff>485775</xdr:colOff>
          <xdr:row>153</xdr:row>
          <xdr:rowOff>0</xdr:rowOff>
        </xdr:to>
        <xdr:sp macro="" textlink="">
          <xdr:nvSpPr>
            <xdr:cNvPr id="157221" name="Drop Down 24101" hidden="1">
              <a:extLst>
                <a:ext uri="{63B3BB69-23CF-44E3-9099-C40C66FF867C}">
                  <a14:compatExt spid="_x0000_s15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152</xdr:row>
          <xdr:rowOff>19050</xdr:rowOff>
        </xdr:from>
        <xdr:to>
          <xdr:col>2</xdr:col>
          <xdr:colOff>285750</xdr:colOff>
          <xdr:row>153</xdr:row>
          <xdr:rowOff>19050</xdr:rowOff>
        </xdr:to>
        <xdr:sp macro="" textlink="">
          <xdr:nvSpPr>
            <xdr:cNvPr id="157222" name="Check Box 24102" hidden="1">
              <a:extLst>
                <a:ext uri="{63B3BB69-23CF-44E3-9099-C40C66FF867C}">
                  <a14:compatExt spid="_x0000_s157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153</xdr:row>
          <xdr:rowOff>9525</xdr:rowOff>
        </xdr:from>
        <xdr:to>
          <xdr:col>5</xdr:col>
          <xdr:colOff>485775</xdr:colOff>
          <xdr:row>153</xdr:row>
          <xdr:rowOff>200025</xdr:rowOff>
        </xdr:to>
        <xdr:sp macro="" textlink="">
          <xdr:nvSpPr>
            <xdr:cNvPr id="157223" name="Drop Down 24103" hidden="1">
              <a:extLst>
                <a:ext uri="{63B3BB69-23CF-44E3-9099-C40C66FF867C}">
                  <a14:compatExt spid="_x0000_s15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153</xdr:row>
          <xdr:rowOff>19050</xdr:rowOff>
        </xdr:from>
        <xdr:to>
          <xdr:col>2</xdr:col>
          <xdr:colOff>285750</xdr:colOff>
          <xdr:row>154</xdr:row>
          <xdr:rowOff>19050</xdr:rowOff>
        </xdr:to>
        <xdr:sp macro="" textlink="">
          <xdr:nvSpPr>
            <xdr:cNvPr id="157224" name="Check Box 24104" hidden="1">
              <a:extLst>
                <a:ext uri="{63B3BB69-23CF-44E3-9099-C40C66FF867C}">
                  <a14:compatExt spid="_x0000_s157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154</xdr:row>
          <xdr:rowOff>0</xdr:rowOff>
        </xdr:from>
        <xdr:to>
          <xdr:col>5</xdr:col>
          <xdr:colOff>485775</xdr:colOff>
          <xdr:row>154</xdr:row>
          <xdr:rowOff>190500</xdr:rowOff>
        </xdr:to>
        <xdr:sp macro="" textlink="">
          <xdr:nvSpPr>
            <xdr:cNvPr id="157225" name="Drop Down 24105" hidden="1">
              <a:extLst>
                <a:ext uri="{63B3BB69-23CF-44E3-9099-C40C66FF867C}">
                  <a14:compatExt spid="_x0000_s15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154</xdr:row>
          <xdr:rowOff>19050</xdr:rowOff>
        </xdr:from>
        <xdr:to>
          <xdr:col>2</xdr:col>
          <xdr:colOff>285750</xdr:colOff>
          <xdr:row>155</xdr:row>
          <xdr:rowOff>19050</xdr:rowOff>
        </xdr:to>
        <xdr:sp macro="" textlink="">
          <xdr:nvSpPr>
            <xdr:cNvPr id="157226" name="Check Box 24106" hidden="1">
              <a:extLst>
                <a:ext uri="{63B3BB69-23CF-44E3-9099-C40C66FF867C}">
                  <a14:compatExt spid="_x0000_s1572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306</xdr:row>
          <xdr:rowOff>9525</xdr:rowOff>
        </xdr:from>
        <xdr:to>
          <xdr:col>4</xdr:col>
          <xdr:colOff>381000</xdr:colOff>
          <xdr:row>306</xdr:row>
          <xdr:rowOff>200025</xdr:rowOff>
        </xdr:to>
        <xdr:sp macro="" textlink="">
          <xdr:nvSpPr>
            <xdr:cNvPr id="157272" name="Check Box 24152" hidden="1">
              <a:extLst>
                <a:ext uri="{63B3BB69-23CF-44E3-9099-C40C66FF867C}">
                  <a14:compatExt spid="_x0000_s157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307</xdr:row>
          <xdr:rowOff>9525</xdr:rowOff>
        </xdr:from>
        <xdr:to>
          <xdr:col>4</xdr:col>
          <xdr:colOff>381000</xdr:colOff>
          <xdr:row>307</xdr:row>
          <xdr:rowOff>200025</xdr:rowOff>
        </xdr:to>
        <xdr:sp macro="" textlink="">
          <xdr:nvSpPr>
            <xdr:cNvPr id="157273" name="Check Box 24153" hidden="1">
              <a:extLst>
                <a:ext uri="{63B3BB69-23CF-44E3-9099-C40C66FF867C}">
                  <a14:compatExt spid="_x0000_s157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307</xdr:row>
          <xdr:rowOff>9525</xdr:rowOff>
        </xdr:from>
        <xdr:to>
          <xdr:col>4</xdr:col>
          <xdr:colOff>381000</xdr:colOff>
          <xdr:row>307</xdr:row>
          <xdr:rowOff>200025</xdr:rowOff>
        </xdr:to>
        <xdr:sp macro="" textlink="">
          <xdr:nvSpPr>
            <xdr:cNvPr id="157274" name="Check Box 24154" hidden="1">
              <a:extLst>
                <a:ext uri="{63B3BB69-23CF-44E3-9099-C40C66FF867C}">
                  <a14:compatExt spid="_x0000_s157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308</xdr:row>
          <xdr:rowOff>9525</xdr:rowOff>
        </xdr:from>
        <xdr:to>
          <xdr:col>4</xdr:col>
          <xdr:colOff>381000</xdr:colOff>
          <xdr:row>308</xdr:row>
          <xdr:rowOff>200025</xdr:rowOff>
        </xdr:to>
        <xdr:sp macro="" textlink="">
          <xdr:nvSpPr>
            <xdr:cNvPr id="157275" name="Check Box 24155" hidden="1">
              <a:extLst>
                <a:ext uri="{63B3BB69-23CF-44E3-9099-C40C66FF867C}">
                  <a14:compatExt spid="_x0000_s157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308</xdr:row>
          <xdr:rowOff>9525</xdr:rowOff>
        </xdr:from>
        <xdr:to>
          <xdr:col>4</xdr:col>
          <xdr:colOff>381000</xdr:colOff>
          <xdr:row>308</xdr:row>
          <xdr:rowOff>200025</xdr:rowOff>
        </xdr:to>
        <xdr:sp macro="" textlink="">
          <xdr:nvSpPr>
            <xdr:cNvPr id="157276" name="Check Box 24156" hidden="1">
              <a:extLst>
                <a:ext uri="{63B3BB69-23CF-44E3-9099-C40C66FF867C}">
                  <a14:compatExt spid="_x0000_s157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308</xdr:row>
          <xdr:rowOff>9525</xdr:rowOff>
        </xdr:from>
        <xdr:to>
          <xdr:col>4</xdr:col>
          <xdr:colOff>381000</xdr:colOff>
          <xdr:row>308</xdr:row>
          <xdr:rowOff>200025</xdr:rowOff>
        </xdr:to>
        <xdr:sp macro="" textlink="">
          <xdr:nvSpPr>
            <xdr:cNvPr id="157277" name="Check Box 24157" hidden="1">
              <a:extLst>
                <a:ext uri="{63B3BB69-23CF-44E3-9099-C40C66FF867C}">
                  <a14:compatExt spid="_x0000_s1572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309</xdr:row>
          <xdr:rowOff>9525</xdr:rowOff>
        </xdr:from>
        <xdr:to>
          <xdr:col>4</xdr:col>
          <xdr:colOff>381000</xdr:colOff>
          <xdr:row>309</xdr:row>
          <xdr:rowOff>200025</xdr:rowOff>
        </xdr:to>
        <xdr:sp macro="" textlink="">
          <xdr:nvSpPr>
            <xdr:cNvPr id="157278" name="Check Box 24158" hidden="1">
              <a:extLst>
                <a:ext uri="{63B3BB69-23CF-44E3-9099-C40C66FF867C}">
                  <a14:compatExt spid="_x0000_s157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309</xdr:row>
          <xdr:rowOff>9525</xdr:rowOff>
        </xdr:from>
        <xdr:to>
          <xdr:col>4</xdr:col>
          <xdr:colOff>381000</xdr:colOff>
          <xdr:row>309</xdr:row>
          <xdr:rowOff>200025</xdr:rowOff>
        </xdr:to>
        <xdr:sp macro="" textlink="">
          <xdr:nvSpPr>
            <xdr:cNvPr id="157279" name="Check Box 24159" hidden="1">
              <a:extLst>
                <a:ext uri="{63B3BB69-23CF-44E3-9099-C40C66FF867C}">
                  <a14:compatExt spid="_x0000_s157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309</xdr:row>
          <xdr:rowOff>9525</xdr:rowOff>
        </xdr:from>
        <xdr:to>
          <xdr:col>4</xdr:col>
          <xdr:colOff>381000</xdr:colOff>
          <xdr:row>309</xdr:row>
          <xdr:rowOff>200025</xdr:rowOff>
        </xdr:to>
        <xdr:sp macro="" textlink="">
          <xdr:nvSpPr>
            <xdr:cNvPr id="157280" name="Check Box 24160" hidden="1">
              <a:extLst>
                <a:ext uri="{63B3BB69-23CF-44E3-9099-C40C66FF867C}">
                  <a14:compatExt spid="_x0000_s1572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310</xdr:row>
          <xdr:rowOff>9525</xdr:rowOff>
        </xdr:from>
        <xdr:to>
          <xdr:col>4</xdr:col>
          <xdr:colOff>381000</xdr:colOff>
          <xdr:row>310</xdr:row>
          <xdr:rowOff>200025</xdr:rowOff>
        </xdr:to>
        <xdr:sp macro="" textlink="">
          <xdr:nvSpPr>
            <xdr:cNvPr id="157281" name="Check Box 24161" hidden="1">
              <a:extLst>
                <a:ext uri="{63B3BB69-23CF-44E3-9099-C40C66FF867C}">
                  <a14:compatExt spid="_x0000_s157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310</xdr:row>
          <xdr:rowOff>9525</xdr:rowOff>
        </xdr:from>
        <xdr:to>
          <xdr:col>4</xdr:col>
          <xdr:colOff>381000</xdr:colOff>
          <xdr:row>310</xdr:row>
          <xdr:rowOff>200025</xdr:rowOff>
        </xdr:to>
        <xdr:sp macro="" textlink="">
          <xdr:nvSpPr>
            <xdr:cNvPr id="157282" name="Check Box 24162" hidden="1">
              <a:extLst>
                <a:ext uri="{63B3BB69-23CF-44E3-9099-C40C66FF867C}">
                  <a14:compatExt spid="_x0000_s15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310</xdr:row>
          <xdr:rowOff>9525</xdr:rowOff>
        </xdr:from>
        <xdr:to>
          <xdr:col>4</xdr:col>
          <xdr:colOff>381000</xdr:colOff>
          <xdr:row>310</xdr:row>
          <xdr:rowOff>200025</xdr:rowOff>
        </xdr:to>
        <xdr:sp macro="" textlink="">
          <xdr:nvSpPr>
            <xdr:cNvPr id="157283" name="Check Box 24163" hidden="1">
              <a:extLst>
                <a:ext uri="{63B3BB69-23CF-44E3-9099-C40C66FF867C}">
                  <a14:compatExt spid="_x0000_s157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311</xdr:row>
          <xdr:rowOff>9525</xdr:rowOff>
        </xdr:from>
        <xdr:to>
          <xdr:col>4</xdr:col>
          <xdr:colOff>381000</xdr:colOff>
          <xdr:row>311</xdr:row>
          <xdr:rowOff>200025</xdr:rowOff>
        </xdr:to>
        <xdr:sp macro="" textlink="">
          <xdr:nvSpPr>
            <xdr:cNvPr id="157284" name="Check Box 24164" hidden="1">
              <a:extLst>
                <a:ext uri="{63B3BB69-23CF-44E3-9099-C40C66FF867C}">
                  <a14:compatExt spid="_x0000_s157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311</xdr:row>
          <xdr:rowOff>9525</xdr:rowOff>
        </xdr:from>
        <xdr:to>
          <xdr:col>4</xdr:col>
          <xdr:colOff>381000</xdr:colOff>
          <xdr:row>311</xdr:row>
          <xdr:rowOff>200025</xdr:rowOff>
        </xdr:to>
        <xdr:sp macro="" textlink="">
          <xdr:nvSpPr>
            <xdr:cNvPr id="157285" name="Check Box 24165" hidden="1">
              <a:extLst>
                <a:ext uri="{63B3BB69-23CF-44E3-9099-C40C66FF867C}">
                  <a14:compatExt spid="_x0000_s157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311</xdr:row>
          <xdr:rowOff>9525</xdr:rowOff>
        </xdr:from>
        <xdr:to>
          <xdr:col>4</xdr:col>
          <xdr:colOff>381000</xdr:colOff>
          <xdr:row>311</xdr:row>
          <xdr:rowOff>200025</xdr:rowOff>
        </xdr:to>
        <xdr:sp macro="" textlink="">
          <xdr:nvSpPr>
            <xdr:cNvPr id="157286" name="Check Box 24166" hidden="1">
              <a:extLst>
                <a:ext uri="{63B3BB69-23CF-44E3-9099-C40C66FF867C}">
                  <a14:compatExt spid="_x0000_s157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312</xdr:row>
          <xdr:rowOff>9525</xdr:rowOff>
        </xdr:from>
        <xdr:to>
          <xdr:col>4</xdr:col>
          <xdr:colOff>381000</xdr:colOff>
          <xdr:row>312</xdr:row>
          <xdr:rowOff>200025</xdr:rowOff>
        </xdr:to>
        <xdr:sp macro="" textlink="">
          <xdr:nvSpPr>
            <xdr:cNvPr id="157287" name="Check Box 24167" hidden="1">
              <a:extLst>
                <a:ext uri="{63B3BB69-23CF-44E3-9099-C40C66FF867C}">
                  <a14:compatExt spid="_x0000_s157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312</xdr:row>
          <xdr:rowOff>9525</xdr:rowOff>
        </xdr:from>
        <xdr:to>
          <xdr:col>4</xdr:col>
          <xdr:colOff>381000</xdr:colOff>
          <xdr:row>312</xdr:row>
          <xdr:rowOff>200025</xdr:rowOff>
        </xdr:to>
        <xdr:sp macro="" textlink="">
          <xdr:nvSpPr>
            <xdr:cNvPr id="157288" name="Check Box 24168" hidden="1">
              <a:extLst>
                <a:ext uri="{63B3BB69-23CF-44E3-9099-C40C66FF867C}">
                  <a14:compatExt spid="_x0000_s157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312</xdr:row>
          <xdr:rowOff>9525</xdr:rowOff>
        </xdr:from>
        <xdr:to>
          <xdr:col>4</xdr:col>
          <xdr:colOff>381000</xdr:colOff>
          <xdr:row>312</xdr:row>
          <xdr:rowOff>200025</xdr:rowOff>
        </xdr:to>
        <xdr:sp macro="" textlink="">
          <xdr:nvSpPr>
            <xdr:cNvPr id="157289" name="Check Box 24169" hidden="1">
              <a:extLst>
                <a:ext uri="{63B3BB69-23CF-44E3-9099-C40C66FF867C}">
                  <a14:compatExt spid="_x0000_s157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313</xdr:row>
          <xdr:rowOff>9525</xdr:rowOff>
        </xdr:from>
        <xdr:to>
          <xdr:col>4</xdr:col>
          <xdr:colOff>381000</xdr:colOff>
          <xdr:row>313</xdr:row>
          <xdr:rowOff>200025</xdr:rowOff>
        </xdr:to>
        <xdr:sp macro="" textlink="">
          <xdr:nvSpPr>
            <xdr:cNvPr id="157290" name="Check Box 24170" hidden="1">
              <a:extLst>
                <a:ext uri="{63B3BB69-23CF-44E3-9099-C40C66FF867C}">
                  <a14:compatExt spid="_x0000_s157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313</xdr:row>
          <xdr:rowOff>9525</xdr:rowOff>
        </xdr:from>
        <xdr:to>
          <xdr:col>4</xdr:col>
          <xdr:colOff>381000</xdr:colOff>
          <xdr:row>313</xdr:row>
          <xdr:rowOff>200025</xdr:rowOff>
        </xdr:to>
        <xdr:sp macro="" textlink="">
          <xdr:nvSpPr>
            <xdr:cNvPr id="157291" name="Check Box 24171" hidden="1">
              <a:extLst>
                <a:ext uri="{63B3BB69-23CF-44E3-9099-C40C66FF867C}">
                  <a14:compatExt spid="_x0000_s157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313</xdr:row>
          <xdr:rowOff>9525</xdr:rowOff>
        </xdr:from>
        <xdr:to>
          <xdr:col>4</xdr:col>
          <xdr:colOff>381000</xdr:colOff>
          <xdr:row>313</xdr:row>
          <xdr:rowOff>200025</xdr:rowOff>
        </xdr:to>
        <xdr:sp macro="" textlink="">
          <xdr:nvSpPr>
            <xdr:cNvPr id="157292" name="Check Box 24172" hidden="1">
              <a:extLst>
                <a:ext uri="{63B3BB69-23CF-44E3-9099-C40C66FF867C}">
                  <a14:compatExt spid="_x0000_s157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314</xdr:row>
          <xdr:rowOff>9525</xdr:rowOff>
        </xdr:from>
        <xdr:to>
          <xdr:col>4</xdr:col>
          <xdr:colOff>381000</xdr:colOff>
          <xdr:row>314</xdr:row>
          <xdr:rowOff>200025</xdr:rowOff>
        </xdr:to>
        <xdr:sp macro="" textlink="">
          <xdr:nvSpPr>
            <xdr:cNvPr id="157293" name="Check Box 24173" hidden="1">
              <a:extLst>
                <a:ext uri="{63B3BB69-23CF-44E3-9099-C40C66FF867C}">
                  <a14:compatExt spid="_x0000_s157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314</xdr:row>
          <xdr:rowOff>9525</xdr:rowOff>
        </xdr:from>
        <xdr:to>
          <xdr:col>4</xdr:col>
          <xdr:colOff>381000</xdr:colOff>
          <xdr:row>314</xdr:row>
          <xdr:rowOff>200025</xdr:rowOff>
        </xdr:to>
        <xdr:sp macro="" textlink="">
          <xdr:nvSpPr>
            <xdr:cNvPr id="157294" name="Check Box 24174" hidden="1">
              <a:extLst>
                <a:ext uri="{63B3BB69-23CF-44E3-9099-C40C66FF867C}">
                  <a14:compatExt spid="_x0000_s157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314</xdr:row>
          <xdr:rowOff>9525</xdr:rowOff>
        </xdr:from>
        <xdr:to>
          <xdr:col>4</xdr:col>
          <xdr:colOff>381000</xdr:colOff>
          <xdr:row>314</xdr:row>
          <xdr:rowOff>200025</xdr:rowOff>
        </xdr:to>
        <xdr:sp macro="" textlink="">
          <xdr:nvSpPr>
            <xdr:cNvPr id="157295" name="Check Box 24175" hidden="1">
              <a:extLst>
                <a:ext uri="{63B3BB69-23CF-44E3-9099-C40C66FF867C}">
                  <a14:compatExt spid="_x0000_s157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315</xdr:row>
          <xdr:rowOff>9525</xdr:rowOff>
        </xdr:from>
        <xdr:to>
          <xdr:col>4</xdr:col>
          <xdr:colOff>381000</xdr:colOff>
          <xdr:row>315</xdr:row>
          <xdr:rowOff>200025</xdr:rowOff>
        </xdr:to>
        <xdr:sp macro="" textlink="">
          <xdr:nvSpPr>
            <xdr:cNvPr id="157296" name="Check Box 24176" hidden="1">
              <a:extLst>
                <a:ext uri="{63B3BB69-23CF-44E3-9099-C40C66FF867C}">
                  <a14:compatExt spid="_x0000_s157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315</xdr:row>
          <xdr:rowOff>9525</xdr:rowOff>
        </xdr:from>
        <xdr:to>
          <xdr:col>4</xdr:col>
          <xdr:colOff>381000</xdr:colOff>
          <xdr:row>315</xdr:row>
          <xdr:rowOff>200025</xdr:rowOff>
        </xdr:to>
        <xdr:sp macro="" textlink="">
          <xdr:nvSpPr>
            <xdr:cNvPr id="157297" name="Check Box 24177" hidden="1">
              <a:extLst>
                <a:ext uri="{63B3BB69-23CF-44E3-9099-C40C66FF867C}">
                  <a14:compatExt spid="_x0000_s157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315</xdr:row>
          <xdr:rowOff>9525</xdr:rowOff>
        </xdr:from>
        <xdr:to>
          <xdr:col>4</xdr:col>
          <xdr:colOff>381000</xdr:colOff>
          <xdr:row>315</xdr:row>
          <xdr:rowOff>200025</xdr:rowOff>
        </xdr:to>
        <xdr:sp macro="" textlink="">
          <xdr:nvSpPr>
            <xdr:cNvPr id="157298" name="Check Box 24178" hidden="1">
              <a:extLst>
                <a:ext uri="{63B3BB69-23CF-44E3-9099-C40C66FF867C}">
                  <a14:compatExt spid="_x0000_s1572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316</xdr:row>
          <xdr:rowOff>9525</xdr:rowOff>
        </xdr:from>
        <xdr:to>
          <xdr:col>4</xdr:col>
          <xdr:colOff>381000</xdr:colOff>
          <xdr:row>316</xdr:row>
          <xdr:rowOff>200025</xdr:rowOff>
        </xdr:to>
        <xdr:sp macro="" textlink="">
          <xdr:nvSpPr>
            <xdr:cNvPr id="157299" name="Check Box 24179" hidden="1">
              <a:extLst>
                <a:ext uri="{63B3BB69-23CF-44E3-9099-C40C66FF867C}">
                  <a14:compatExt spid="_x0000_s157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316</xdr:row>
          <xdr:rowOff>9525</xdr:rowOff>
        </xdr:from>
        <xdr:to>
          <xdr:col>4</xdr:col>
          <xdr:colOff>381000</xdr:colOff>
          <xdr:row>316</xdr:row>
          <xdr:rowOff>200025</xdr:rowOff>
        </xdr:to>
        <xdr:sp macro="" textlink="">
          <xdr:nvSpPr>
            <xdr:cNvPr id="157300" name="Check Box 24180" hidden="1">
              <a:extLst>
                <a:ext uri="{63B3BB69-23CF-44E3-9099-C40C66FF867C}">
                  <a14:compatExt spid="_x0000_s157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316</xdr:row>
          <xdr:rowOff>9525</xdr:rowOff>
        </xdr:from>
        <xdr:to>
          <xdr:col>4</xdr:col>
          <xdr:colOff>381000</xdr:colOff>
          <xdr:row>316</xdr:row>
          <xdr:rowOff>200025</xdr:rowOff>
        </xdr:to>
        <xdr:sp macro="" textlink="">
          <xdr:nvSpPr>
            <xdr:cNvPr id="157301" name="Check Box 24181" hidden="1">
              <a:extLst>
                <a:ext uri="{63B3BB69-23CF-44E3-9099-C40C66FF867C}">
                  <a14:compatExt spid="_x0000_s1573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317</xdr:row>
          <xdr:rowOff>9525</xdr:rowOff>
        </xdr:from>
        <xdr:to>
          <xdr:col>4</xdr:col>
          <xdr:colOff>381000</xdr:colOff>
          <xdr:row>317</xdr:row>
          <xdr:rowOff>200025</xdr:rowOff>
        </xdr:to>
        <xdr:sp macro="" textlink="">
          <xdr:nvSpPr>
            <xdr:cNvPr id="157302" name="Check Box 24182" hidden="1">
              <a:extLst>
                <a:ext uri="{63B3BB69-23CF-44E3-9099-C40C66FF867C}">
                  <a14:compatExt spid="_x0000_s157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317</xdr:row>
          <xdr:rowOff>9525</xdr:rowOff>
        </xdr:from>
        <xdr:to>
          <xdr:col>4</xdr:col>
          <xdr:colOff>381000</xdr:colOff>
          <xdr:row>317</xdr:row>
          <xdr:rowOff>200025</xdr:rowOff>
        </xdr:to>
        <xdr:sp macro="" textlink="">
          <xdr:nvSpPr>
            <xdr:cNvPr id="157303" name="Check Box 24183" hidden="1">
              <a:extLst>
                <a:ext uri="{63B3BB69-23CF-44E3-9099-C40C66FF867C}">
                  <a14:compatExt spid="_x0000_s157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317</xdr:row>
          <xdr:rowOff>9525</xdr:rowOff>
        </xdr:from>
        <xdr:to>
          <xdr:col>4</xdr:col>
          <xdr:colOff>381000</xdr:colOff>
          <xdr:row>317</xdr:row>
          <xdr:rowOff>200025</xdr:rowOff>
        </xdr:to>
        <xdr:sp macro="" textlink="">
          <xdr:nvSpPr>
            <xdr:cNvPr id="157304" name="Check Box 24184" hidden="1">
              <a:extLst>
                <a:ext uri="{63B3BB69-23CF-44E3-9099-C40C66FF867C}">
                  <a14:compatExt spid="_x0000_s1573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318</xdr:row>
          <xdr:rowOff>9525</xdr:rowOff>
        </xdr:from>
        <xdr:to>
          <xdr:col>4</xdr:col>
          <xdr:colOff>381000</xdr:colOff>
          <xdr:row>318</xdr:row>
          <xdr:rowOff>200025</xdr:rowOff>
        </xdr:to>
        <xdr:sp macro="" textlink="">
          <xdr:nvSpPr>
            <xdr:cNvPr id="157305" name="Check Box 24185" hidden="1">
              <a:extLst>
                <a:ext uri="{63B3BB69-23CF-44E3-9099-C40C66FF867C}">
                  <a14:compatExt spid="_x0000_s157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318</xdr:row>
          <xdr:rowOff>9525</xdr:rowOff>
        </xdr:from>
        <xdr:to>
          <xdr:col>4</xdr:col>
          <xdr:colOff>381000</xdr:colOff>
          <xdr:row>318</xdr:row>
          <xdr:rowOff>200025</xdr:rowOff>
        </xdr:to>
        <xdr:sp macro="" textlink="">
          <xdr:nvSpPr>
            <xdr:cNvPr id="157306" name="Check Box 24186" hidden="1">
              <a:extLst>
                <a:ext uri="{63B3BB69-23CF-44E3-9099-C40C66FF867C}">
                  <a14:compatExt spid="_x0000_s157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318</xdr:row>
          <xdr:rowOff>9525</xdr:rowOff>
        </xdr:from>
        <xdr:to>
          <xdr:col>4</xdr:col>
          <xdr:colOff>381000</xdr:colOff>
          <xdr:row>318</xdr:row>
          <xdr:rowOff>200025</xdr:rowOff>
        </xdr:to>
        <xdr:sp macro="" textlink="">
          <xdr:nvSpPr>
            <xdr:cNvPr id="157307" name="Check Box 24187" hidden="1">
              <a:extLst>
                <a:ext uri="{63B3BB69-23CF-44E3-9099-C40C66FF867C}">
                  <a14:compatExt spid="_x0000_s1573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319</xdr:row>
          <xdr:rowOff>9525</xdr:rowOff>
        </xdr:from>
        <xdr:to>
          <xdr:col>4</xdr:col>
          <xdr:colOff>381000</xdr:colOff>
          <xdr:row>319</xdr:row>
          <xdr:rowOff>200025</xdr:rowOff>
        </xdr:to>
        <xdr:sp macro="" textlink="">
          <xdr:nvSpPr>
            <xdr:cNvPr id="157308" name="Check Box 24188" hidden="1">
              <a:extLst>
                <a:ext uri="{63B3BB69-23CF-44E3-9099-C40C66FF867C}">
                  <a14:compatExt spid="_x0000_s157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319</xdr:row>
          <xdr:rowOff>9525</xdr:rowOff>
        </xdr:from>
        <xdr:to>
          <xdr:col>4</xdr:col>
          <xdr:colOff>381000</xdr:colOff>
          <xdr:row>319</xdr:row>
          <xdr:rowOff>200025</xdr:rowOff>
        </xdr:to>
        <xdr:sp macro="" textlink="">
          <xdr:nvSpPr>
            <xdr:cNvPr id="157309" name="Check Box 24189" hidden="1">
              <a:extLst>
                <a:ext uri="{63B3BB69-23CF-44E3-9099-C40C66FF867C}">
                  <a14:compatExt spid="_x0000_s157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319</xdr:row>
          <xdr:rowOff>9525</xdr:rowOff>
        </xdr:from>
        <xdr:to>
          <xdr:col>4</xdr:col>
          <xdr:colOff>381000</xdr:colOff>
          <xdr:row>319</xdr:row>
          <xdr:rowOff>200025</xdr:rowOff>
        </xdr:to>
        <xdr:sp macro="" textlink="">
          <xdr:nvSpPr>
            <xdr:cNvPr id="157310" name="Check Box 24190" hidden="1">
              <a:extLst>
                <a:ext uri="{63B3BB69-23CF-44E3-9099-C40C66FF867C}">
                  <a14:compatExt spid="_x0000_s1573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320</xdr:row>
          <xdr:rowOff>9525</xdr:rowOff>
        </xdr:from>
        <xdr:to>
          <xdr:col>4</xdr:col>
          <xdr:colOff>381000</xdr:colOff>
          <xdr:row>320</xdr:row>
          <xdr:rowOff>200025</xdr:rowOff>
        </xdr:to>
        <xdr:sp macro="" textlink="">
          <xdr:nvSpPr>
            <xdr:cNvPr id="157311" name="Check Box 24191" hidden="1">
              <a:extLst>
                <a:ext uri="{63B3BB69-23CF-44E3-9099-C40C66FF867C}">
                  <a14:compatExt spid="_x0000_s157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320</xdr:row>
          <xdr:rowOff>9525</xdr:rowOff>
        </xdr:from>
        <xdr:to>
          <xdr:col>4</xdr:col>
          <xdr:colOff>381000</xdr:colOff>
          <xdr:row>320</xdr:row>
          <xdr:rowOff>200025</xdr:rowOff>
        </xdr:to>
        <xdr:sp macro="" textlink="">
          <xdr:nvSpPr>
            <xdr:cNvPr id="157312" name="Check Box 24192" hidden="1">
              <a:extLst>
                <a:ext uri="{63B3BB69-23CF-44E3-9099-C40C66FF867C}">
                  <a14:compatExt spid="_x0000_s157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320</xdr:row>
          <xdr:rowOff>9525</xdr:rowOff>
        </xdr:from>
        <xdr:to>
          <xdr:col>4</xdr:col>
          <xdr:colOff>381000</xdr:colOff>
          <xdr:row>320</xdr:row>
          <xdr:rowOff>200025</xdr:rowOff>
        </xdr:to>
        <xdr:sp macro="" textlink="">
          <xdr:nvSpPr>
            <xdr:cNvPr id="157313" name="Check Box 24193" hidden="1">
              <a:extLst>
                <a:ext uri="{63B3BB69-23CF-44E3-9099-C40C66FF867C}">
                  <a14:compatExt spid="_x0000_s157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321</xdr:row>
          <xdr:rowOff>9525</xdr:rowOff>
        </xdr:from>
        <xdr:to>
          <xdr:col>4</xdr:col>
          <xdr:colOff>381000</xdr:colOff>
          <xdr:row>321</xdr:row>
          <xdr:rowOff>200025</xdr:rowOff>
        </xdr:to>
        <xdr:sp macro="" textlink="">
          <xdr:nvSpPr>
            <xdr:cNvPr id="157314" name="Check Box 24194" hidden="1">
              <a:extLst>
                <a:ext uri="{63B3BB69-23CF-44E3-9099-C40C66FF867C}">
                  <a14:compatExt spid="_x0000_s157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321</xdr:row>
          <xdr:rowOff>9525</xdr:rowOff>
        </xdr:from>
        <xdr:to>
          <xdr:col>4</xdr:col>
          <xdr:colOff>381000</xdr:colOff>
          <xdr:row>321</xdr:row>
          <xdr:rowOff>200025</xdr:rowOff>
        </xdr:to>
        <xdr:sp macro="" textlink="">
          <xdr:nvSpPr>
            <xdr:cNvPr id="157315" name="Check Box 24195" hidden="1">
              <a:extLst>
                <a:ext uri="{63B3BB69-23CF-44E3-9099-C40C66FF867C}">
                  <a14:compatExt spid="_x0000_s157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321</xdr:row>
          <xdr:rowOff>9525</xdr:rowOff>
        </xdr:from>
        <xdr:to>
          <xdr:col>4</xdr:col>
          <xdr:colOff>381000</xdr:colOff>
          <xdr:row>321</xdr:row>
          <xdr:rowOff>200025</xdr:rowOff>
        </xdr:to>
        <xdr:sp macro="" textlink="">
          <xdr:nvSpPr>
            <xdr:cNvPr id="157316" name="Check Box 24196" hidden="1">
              <a:extLst>
                <a:ext uri="{63B3BB69-23CF-44E3-9099-C40C66FF867C}">
                  <a14:compatExt spid="_x0000_s15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322</xdr:row>
          <xdr:rowOff>9525</xdr:rowOff>
        </xdr:from>
        <xdr:to>
          <xdr:col>4</xdr:col>
          <xdr:colOff>381000</xdr:colOff>
          <xdr:row>322</xdr:row>
          <xdr:rowOff>200025</xdr:rowOff>
        </xdr:to>
        <xdr:sp macro="" textlink="">
          <xdr:nvSpPr>
            <xdr:cNvPr id="157317" name="Check Box 24197" hidden="1">
              <a:extLst>
                <a:ext uri="{63B3BB69-23CF-44E3-9099-C40C66FF867C}">
                  <a14:compatExt spid="_x0000_s157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322</xdr:row>
          <xdr:rowOff>9525</xdr:rowOff>
        </xdr:from>
        <xdr:to>
          <xdr:col>4</xdr:col>
          <xdr:colOff>381000</xdr:colOff>
          <xdr:row>322</xdr:row>
          <xdr:rowOff>200025</xdr:rowOff>
        </xdr:to>
        <xdr:sp macro="" textlink="">
          <xdr:nvSpPr>
            <xdr:cNvPr id="157318" name="Check Box 24198" hidden="1">
              <a:extLst>
                <a:ext uri="{63B3BB69-23CF-44E3-9099-C40C66FF867C}">
                  <a14:compatExt spid="_x0000_s157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322</xdr:row>
          <xdr:rowOff>9525</xdr:rowOff>
        </xdr:from>
        <xdr:to>
          <xdr:col>4</xdr:col>
          <xdr:colOff>381000</xdr:colOff>
          <xdr:row>322</xdr:row>
          <xdr:rowOff>200025</xdr:rowOff>
        </xdr:to>
        <xdr:sp macro="" textlink="">
          <xdr:nvSpPr>
            <xdr:cNvPr id="157319" name="Check Box 24199" hidden="1">
              <a:extLst>
                <a:ext uri="{63B3BB69-23CF-44E3-9099-C40C66FF867C}">
                  <a14:compatExt spid="_x0000_s157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323</xdr:row>
          <xdr:rowOff>9525</xdr:rowOff>
        </xdr:from>
        <xdr:to>
          <xdr:col>4</xdr:col>
          <xdr:colOff>381000</xdr:colOff>
          <xdr:row>323</xdr:row>
          <xdr:rowOff>200025</xdr:rowOff>
        </xdr:to>
        <xdr:sp macro="" textlink="">
          <xdr:nvSpPr>
            <xdr:cNvPr id="157320" name="Check Box 24200" hidden="1">
              <a:extLst>
                <a:ext uri="{63B3BB69-23CF-44E3-9099-C40C66FF867C}">
                  <a14:compatExt spid="_x0000_s15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323</xdr:row>
          <xdr:rowOff>9525</xdr:rowOff>
        </xdr:from>
        <xdr:to>
          <xdr:col>4</xdr:col>
          <xdr:colOff>381000</xdr:colOff>
          <xdr:row>323</xdr:row>
          <xdr:rowOff>200025</xdr:rowOff>
        </xdr:to>
        <xdr:sp macro="" textlink="">
          <xdr:nvSpPr>
            <xdr:cNvPr id="157321" name="Check Box 24201" hidden="1">
              <a:extLst>
                <a:ext uri="{63B3BB69-23CF-44E3-9099-C40C66FF867C}">
                  <a14:compatExt spid="_x0000_s157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323</xdr:row>
          <xdr:rowOff>9525</xdr:rowOff>
        </xdr:from>
        <xdr:to>
          <xdr:col>4</xdr:col>
          <xdr:colOff>381000</xdr:colOff>
          <xdr:row>323</xdr:row>
          <xdr:rowOff>200025</xdr:rowOff>
        </xdr:to>
        <xdr:sp macro="" textlink="">
          <xdr:nvSpPr>
            <xdr:cNvPr id="157322" name="Check Box 24202" hidden="1">
              <a:extLst>
                <a:ext uri="{63B3BB69-23CF-44E3-9099-C40C66FF867C}">
                  <a14:compatExt spid="_x0000_s1573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324</xdr:row>
          <xdr:rowOff>9525</xdr:rowOff>
        </xdr:from>
        <xdr:to>
          <xdr:col>4</xdr:col>
          <xdr:colOff>381000</xdr:colOff>
          <xdr:row>324</xdr:row>
          <xdr:rowOff>200025</xdr:rowOff>
        </xdr:to>
        <xdr:sp macro="" textlink="">
          <xdr:nvSpPr>
            <xdr:cNvPr id="157323" name="Check Box 24203" hidden="1">
              <a:extLst>
                <a:ext uri="{63B3BB69-23CF-44E3-9099-C40C66FF867C}">
                  <a14:compatExt spid="_x0000_s157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324</xdr:row>
          <xdr:rowOff>9525</xdr:rowOff>
        </xdr:from>
        <xdr:to>
          <xdr:col>4</xdr:col>
          <xdr:colOff>381000</xdr:colOff>
          <xdr:row>324</xdr:row>
          <xdr:rowOff>200025</xdr:rowOff>
        </xdr:to>
        <xdr:sp macro="" textlink="">
          <xdr:nvSpPr>
            <xdr:cNvPr id="157324" name="Check Box 24204" hidden="1">
              <a:extLst>
                <a:ext uri="{63B3BB69-23CF-44E3-9099-C40C66FF867C}">
                  <a14:compatExt spid="_x0000_s157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324</xdr:row>
          <xdr:rowOff>9525</xdr:rowOff>
        </xdr:from>
        <xdr:to>
          <xdr:col>4</xdr:col>
          <xdr:colOff>381000</xdr:colOff>
          <xdr:row>324</xdr:row>
          <xdr:rowOff>200025</xdr:rowOff>
        </xdr:to>
        <xdr:sp macro="" textlink="">
          <xdr:nvSpPr>
            <xdr:cNvPr id="157325" name="Check Box 24205" hidden="1">
              <a:extLst>
                <a:ext uri="{63B3BB69-23CF-44E3-9099-C40C66FF867C}">
                  <a14:compatExt spid="_x0000_s1573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325</xdr:row>
          <xdr:rowOff>9525</xdr:rowOff>
        </xdr:from>
        <xdr:to>
          <xdr:col>4</xdr:col>
          <xdr:colOff>381000</xdr:colOff>
          <xdr:row>325</xdr:row>
          <xdr:rowOff>200025</xdr:rowOff>
        </xdr:to>
        <xdr:sp macro="" textlink="">
          <xdr:nvSpPr>
            <xdr:cNvPr id="157326" name="Check Box 24206" hidden="1">
              <a:extLst>
                <a:ext uri="{63B3BB69-23CF-44E3-9099-C40C66FF867C}">
                  <a14:compatExt spid="_x0000_s157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325</xdr:row>
          <xdr:rowOff>9525</xdr:rowOff>
        </xdr:from>
        <xdr:to>
          <xdr:col>4</xdr:col>
          <xdr:colOff>381000</xdr:colOff>
          <xdr:row>325</xdr:row>
          <xdr:rowOff>200025</xdr:rowOff>
        </xdr:to>
        <xdr:sp macro="" textlink="">
          <xdr:nvSpPr>
            <xdr:cNvPr id="157327" name="Check Box 24207" hidden="1">
              <a:extLst>
                <a:ext uri="{63B3BB69-23CF-44E3-9099-C40C66FF867C}">
                  <a14:compatExt spid="_x0000_s157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325</xdr:row>
          <xdr:rowOff>9525</xdr:rowOff>
        </xdr:from>
        <xdr:to>
          <xdr:col>4</xdr:col>
          <xdr:colOff>381000</xdr:colOff>
          <xdr:row>325</xdr:row>
          <xdr:rowOff>200025</xdr:rowOff>
        </xdr:to>
        <xdr:sp macro="" textlink="">
          <xdr:nvSpPr>
            <xdr:cNvPr id="157328" name="Check Box 24208" hidden="1">
              <a:extLst>
                <a:ext uri="{63B3BB69-23CF-44E3-9099-C40C66FF867C}">
                  <a14:compatExt spid="_x0000_s1573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326</xdr:row>
          <xdr:rowOff>9525</xdr:rowOff>
        </xdr:from>
        <xdr:to>
          <xdr:col>4</xdr:col>
          <xdr:colOff>381000</xdr:colOff>
          <xdr:row>326</xdr:row>
          <xdr:rowOff>200025</xdr:rowOff>
        </xdr:to>
        <xdr:sp macro="" textlink="">
          <xdr:nvSpPr>
            <xdr:cNvPr id="157329" name="Check Box 24209" hidden="1">
              <a:extLst>
                <a:ext uri="{63B3BB69-23CF-44E3-9099-C40C66FF867C}">
                  <a14:compatExt spid="_x0000_s157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326</xdr:row>
          <xdr:rowOff>9525</xdr:rowOff>
        </xdr:from>
        <xdr:to>
          <xdr:col>4</xdr:col>
          <xdr:colOff>381000</xdr:colOff>
          <xdr:row>326</xdr:row>
          <xdr:rowOff>200025</xdr:rowOff>
        </xdr:to>
        <xdr:sp macro="" textlink="">
          <xdr:nvSpPr>
            <xdr:cNvPr id="157330" name="Check Box 24210" hidden="1">
              <a:extLst>
                <a:ext uri="{63B3BB69-23CF-44E3-9099-C40C66FF867C}">
                  <a14:compatExt spid="_x0000_s157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326</xdr:row>
          <xdr:rowOff>9525</xdr:rowOff>
        </xdr:from>
        <xdr:to>
          <xdr:col>4</xdr:col>
          <xdr:colOff>381000</xdr:colOff>
          <xdr:row>326</xdr:row>
          <xdr:rowOff>200025</xdr:rowOff>
        </xdr:to>
        <xdr:sp macro="" textlink="">
          <xdr:nvSpPr>
            <xdr:cNvPr id="157331" name="Check Box 24211" hidden="1">
              <a:extLst>
                <a:ext uri="{63B3BB69-23CF-44E3-9099-C40C66FF867C}">
                  <a14:compatExt spid="_x0000_s1573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327</xdr:row>
          <xdr:rowOff>9525</xdr:rowOff>
        </xdr:from>
        <xdr:to>
          <xdr:col>4</xdr:col>
          <xdr:colOff>381000</xdr:colOff>
          <xdr:row>327</xdr:row>
          <xdr:rowOff>200025</xdr:rowOff>
        </xdr:to>
        <xdr:sp macro="" textlink="">
          <xdr:nvSpPr>
            <xdr:cNvPr id="157332" name="Check Box 24212" hidden="1">
              <a:extLst>
                <a:ext uri="{63B3BB69-23CF-44E3-9099-C40C66FF867C}">
                  <a14:compatExt spid="_x0000_s157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327</xdr:row>
          <xdr:rowOff>9525</xdr:rowOff>
        </xdr:from>
        <xdr:to>
          <xdr:col>4</xdr:col>
          <xdr:colOff>381000</xdr:colOff>
          <xdr:row>327</xdr:row>
          <xdr:rowOff>200025</xdr:rowOff>
        </xdr:to>
        <xdr:sp macro="" textlink="">
          <xdr:nvSpPr>
            <xdr:cNvPr id="157333" name="Check Box 24213" hidden="1">
              <a:extLst>
                <a:ext uri="{63B3BB69-23CF-44E3-9099-C40C66FF867C}">
                  <a14:compatExt spid="_x0000_s157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327</xdr:row>
          <xdr:rowOff>9525</xdr:rowOff>
        </xdr:from>
        <xdr:to>
          <xdr:col>4</xdr:col>
          <xdr:colOff>381000</xdr:colOff>
          <xdr:row>327</xdr:row>
          <xdr:rowOff>200025</xdr:rowOff>
        </xdr:to>
        <xdr:sp macro="" textlink="">
          <xdr:nvSpPr>
            <xdr:cNvPr id="157334" name="Check Box 24214" hidden="1">
              <a:extLst>
                <a:ext uri="{63B3BB69-23CF-44E3-9099-C40C66FF867C}">
                  <a14:compatExt spid="_x0000_s1573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328</xdr:row>
          <xdr:rowOff>9525</xdr:rowOff>
        </xdr:from>
        <xdr:to>
          <xdr:col>4</xdr:col>
          <xdr:colOff>381000</xdr:colOff>
          <xdr:row>328</xdr:row>
          <xdr:rowOff>200025</xdr:rowOff>
        </xdr:to>
        <xdr:sp macro="" textlink="">
          <xdr:nvSpPr>
            <xdr:cNvPr id="157335" name="Check Box 24215" hidden="1">
              <a:extLst>
                <a:ext uri="{63B3BB69-23CF-44E3-9099-C40C66FF867C}">
                  <a14:compatExt spid="_x0000_s157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328</xdr:row>
          <xdr:rowOff>9525</xdr:rowOff>
        </xdr:from>
        <xdr:to>
          <xdr:col>4</xdr:col>
          <xdr:colOff>381000</xdr:colOff>
          <xdr:row>328</xdr:row>
          <xdr:rowOff>200025</xdr:rowOff>
        </xdr:to>
        <xdr:sp macro="" textlink="">
          <xdr:nvSpPr>
            <xdr:cNvPr id="157336" name="Check Box 24216" hidden="1">
              <a:extLst>
                <a:ext uri="{63B3BB69-23CF-44E3-9099-C40C66FF867C}">
                  <a14:compatExt spid="_x0000_s157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328</xdr:row>
          <xdr:rowOff>9525</xdr:rowOff>
        </xdr:from>
        <xdr:to>
          <xdr:col>4</xdr:col>
          <xdr:colOff>381000</xdr:colOff>
          <xdr:row>328</xdr:row>
          <xdr:rowOff>200025</xdr:rowOff>
        </xdr:to>
        <xdr:sp macro="" textlink="">
          <xdr:nvSpPr>
            <xdr:cNvPr id="157337" name="Check Box 24217" hidden="1">
              <a:extLst>
                <a:ext uri="{63B3BB69-23CF-44E3-9099-C40C66FF867C}">
                  <a14:compatExt spid="_x0000_s157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329</xdr:row>
          <xdr:rowOff>9525</xdr:rowOff>
        </xdr:from>
        <xdr:to>
          <xdr:col>4</xdr:col>
          <xdr:colOff>381000</xdr:colOff>
          <xdr:row>329</xdr:row>
          <xdr:rowOff>200025</xdr:rowOff>
        </xdr:to>
        <xdr:sp macro="" textlink="">
          <xdr:nvSpPr>
            <xdr:cNvPr id="157338" name="Check Box 24218" hidden="1">
              <a:extLst>
                <a:ext uri="{63B3BB69-23CF-44E3-9099-C40C66FF867C}">
                  <a14:compatExt spid="_x0000_s157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329</xdr:row>
          <xdr:rowOff>9525</xdr:rowOff>
        </xdr:from>
        <xdr:to>
          <xdr:col>4</xdr:col>
          <xdr:colOff>381000</xdr:colOff>
          <xdr:row>329</xdr:row>
          <xdr:rowOff>200025</xdr:rowOff>
        </xdr:to>
        <xdr:sp macro="" textlink="">
          <xdr:nvSpPr>
            <xdr:cNvPr id="157339" name="Check Box 24219" hidden="1">
              <a:extLst>
                <a:ext uri="{63B3BB69-23CF-44E3-9099-C40C66FF867C}">
                  <a14:compatExt spid="_x0000_s157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329</xdr:row>
          <xdr:rowOff>9525</xdr:rowOff>
        </xdr:from>
        <xdr:to>
          <xdr:col>4</xdr:col>
          <xdr:colOff>381000</xdr:colOff>
          <xdr:row>329</xdr:row>
          <xdr:rowOff>200025</xdr:rowOff>
        </xdr:to>
        <xdr:sp macro="" textlink="">
          <xdr:nvSpPr>
            <xdr:cNvPr id="157340" name="Check Box 24220" hidden="1">
              <a:extLst>
                <a:ext uri="{63B3BB69-23CF-44E3-9099-C40C66FF867C}">
                  <a14:compatExt spid="_x0000_s157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330</xdr:row>
          <xdr:rowOff>9525</xdr:rowOff>
        </xdr:from>
        <xdr:to>
          <xdr:col>4</xdr:col>
          <xdr:colOff>381000</xdr:colOff>
          <xdr:row>330</xdr:row>
          <xdr:rowOff>200025</xdr:rowOff>
        </xdr:to>
        <xdr:sp macro="" textlink="">
          <xdr:nvSpPr>
            <xdr:cNvPr id="157341" name="Check Box 24221" hidden="1">
              <a:extLst>
                <a:ext uri="{63B3BB69-23CF-44E3-9099-C40C66FF867C}">
                  <a14:compatExt spid="_x0000_s157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330</xdr:row>
          <xdr:rowOff>9525</xdr:rowOff>
        </xdr:from>
        <xdr:to>
          <xdr:col>4</xdr:col>
          <xdr:colOff>381000</xdr:colOff>
          <xdr:row>330</xdr:row>
          <xdr:rowOff>200025</xdr:rowOff>
        </xdr:to>
        <xdr:sp macro="" textlink="">
          <xdr:nvSpPr>
            <xdr:cNvPr id="157342" name="Check Box 24222" hidden="1">
              <a:extLst>
                <a:ext uri="{63B3BB69-23CF-44E3-9099-C40C66FF867C}">
                  <a14:compatExt spid="_x0000_s157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330</xdr:row>
          <xdr:rowOff>9525</xdr:rowOff>
        </xdr:from>
        <xdr:to>
          <xdr:col>4</xdr:col>
          <xdr:colOff>381000</xdr:colOff>
          <xdr:row>330</xdr:row>
          <xdr:rowOff>200025</xdr:rowOff>
        </xdr:to>
        <xdr:sp macro="" textlink="">
          <xdr:nvSpPr>
            <xdr:cNvPr id="157343" name="Check Box 24223" hidden="1">
              <a:extLst>
                <a:ext uri="{63B3BB69-23CF-44E3-9099-C40C66FF867C}">
                  <a14:compatExt spid="_x0000_s1573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331</xdr:row>
          <xdr:rowOff>9525</xdr:rowOff>
        </xdr:from>
        <xdr:to>
          <xdr:col>4</xdr:col>
          <xdr:colOff>381000</xdr:colOff>
          <xdr:row>331</xdr:row>
          <xdr:rowOff>200025</xdr:rowOff>
        </xdr:to>
        <xdr:sp macro="" textlink="">
          <xdr:nvSpPr>
            <xdr:cNvPr id="157344" name="Check Box 24224" hidden="1">
              <a:extLst>
                <a:ext uri="{63B3BB69-23CF-44E3-9099-C40C66FF867C}">
                  <a14:compatExt spid="_x0000_s157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331</xdr:row>
          <xdr:rowOff>9525</xdr:rowOff>
        </xdr:from>
        <xdr:to>
          <xdr:col>4</xdr:col>
          <xdr:colOff>381000</xdr:colOff>
          <xdr:row>331</xdr:row>
          <xdr:rowOff>200025</xdr:rowOff>
        </xdr:to>
        <xdr:sp macro="" textlink="">
          <xdr:nvSpPr>
            <xdr:cNvPr id="157345" name="Check Box 24225" hidden="1">
              <a:extLst>
                <a:ext uri="{63B3BB69-23CF-44E3-9099-C40C66FF867C}">
                  <a14:compatExt spid="_x0000_s157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331</xdr:row>
          <xdr:rowOff>9525</xdr:rowOff>
        </xdr:from>
        <xdr:to>
          <xdr:col>4</xdr:col>
          <xdr:colOff>381000</xdr:colOff>
          <xdr:row>331</xdr:row>
          <xdr:rowOff>200025</xdr:rowOff>
        </xdr:to>
        <xdr:sp macro="" textlink="">
          <xdr:nvSpPr>
            <xdr:cNvPr id="157346" name="Check Box 24226" hidden="1">
              <a:extLst>
                <a:ext uri="{63B3BB69-23CF-44E3-9099-C40C66FF867C}">
                  <a14:compatExt spid="_x0000_s1573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332</xdr:row>
          <xdr:rowOff>9525</xdr:rowOff>
        </xdr:from>
        <xdr:to>
          <xdr:col>4</xdr:col>
          <xdr:colOff>381000</xdr:colOff>
          <xdr:row>332</xdr:row>
          <xdr:rowOff>200025</xdr:rowOff>
        </xdr:to>
        <xdr:sp macro="" textlink="">
          <xdr:nvSpPr>
            <xdr:cNvPr id="157347" name="Check Box 24227" hidden="1">
              <a:extLst>
                <a:ext uri="{63B3BB69-23CF-44E3-9099-C40C66FF867C}">
                  <a14:compatExt spid="_x0000_s157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332</xdr:row>
          <xdr:rowOff>9525</xdr:rowOff>
        </xdr:from>
        <xdr:to>
          <xdr:col>4</xdr:col>
          <xdr:colOff>381000</xdr:colOff>
          <xdr:row>332</xdr:row>
          <xdr:rowOff>200025</xdr:rowOff>
        </xdr:to>
        <xdr:sp macro="" textlink="">
          <xdr:nvSpPr>
            <xdr:cNvPr id="157348" name="Check Box 24228" hidden="1">
              <a:extLst>
                <a:ext uri="{63B3BB69-23CF-44E3-9099-C40C66FF867C}">
                  <a14:compatExt spid="_x0000_s157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332</xdr:row>
          <xdr:rowOff>9525</xdr:rowOff>
        </xdr:from>
        <xdr:to>
          <xdr:col>4</xdr:col>
          <xdr:colOff>381000</xdr:colOff>
          <xdr:row>332</xdr:row>
          <xdr:rowOff>200025</xdr:rowOff>
        </xdr:to>
        <xdr:sp macro="" textlink="">
          <xdr:nvSpPr>
            <xdr:cNvPr id="157349" name="Check Box 24229" hidden="1">
              <a:extLst>
                <a:ext uri="{63B3BB69-23CF-44E3-9099-C40C66FF867C}">
                  <a14:compatExt spid="_x0000_s1573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333</xdr:row>
          <xdr:rowOff>9525</xdr:rowOff>
        </xdr:from>
        <xdr:to>
          <xdr:col>4</xdr:col>
          <xdr:colOff>381000</xdr:colOff>
          <xdr:row>333</xdr:row>
          <xdr:rowOff>200025</xdr:rowOff>
        </xdr:to>
        <xdr:sp macro="" textlink="">
          <xdr:nvSpPr>
            <xdr:cNvPr id="157350" name="Check Box 24230" hidden="1">
              <a:extLst>
                <a:ext uri="{63B3BB69-23CF-44E3-9099-C40C66FF867C}">
                  <a14:compatExt spid="_x0000_s157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333</xdr:row>
          <xdr:rowOff>9525</xdr:rowOff>
        </xdr:from>
        <xdr:to>
          <xdr:col>4</xdr:col>
          <xdr:colOff>381000</xdr:colOff>
          <xdr:row>333</xdr:row>
          <xdr:rowOff>200025</xdr:rowOff>
        </xdr:to>
        <xdr:sp macro="" textlink="">
          <xdr:nvSpPr>
            <xdr:cNvPr id="157351" name="Check Box 24231" hidden="1">
              <a:extLst>
                <a:ext uri="{63B3BB69-23CF-44E3-9099-C40C66FF867C}">
                  <a14:compatExt spid="_x0000_s157351"/>
                </a:ext>
              </a:extLst>
            </xdr:cNvPr>
            <xdr:cNvSpPr/>
          </xdr:nvSpPr>
          <xdr:spPr>
            <a:xfrm>
              <a:off x="0" y="0"/>
              <a:ext cx="0" cy="0"/>
            </a:xfrm>
            <a:prstGeom prst="rect">
              <a:avLst/>
            </a:prstGeom>
          </xdr:spPr>
        </xdr:sp>
        <xdr:clientData fLocksWithSheet="0"/>
      </xdr:twoCellAnchor>
    </mc:Choice>
    <mc:Fallback/>
  </mc:AlternateContent>
  <xdr:twoCellAnchor>
    <xdr:from>
      <xdr:col>2</xdr:col>
      <xdr:colOff>6880</xdr:colOff>
      <xdr:row>21</xdr:row>
      <xdr:rowOff>138449</xdr:rowOff>
    </xdr:from>
    <xdr:to>
      <xdr:col>3</xdr:col>
      <xdr:colOff>151248</xdr:colOff>
      <xdr:row>24</xdr:row>
      <xdr:rowOff>13896</xdr:rowOff>
    </xdr:to>
    <xdr:sp macro="" textlink="">
      <xdr:nvSpPr>
        <xdr:cNvPr id="301" name="Ellipse 300"/>
        <xdr:cNvSpPr/>
      </xdr:nvSpPr>
      <xdr:spPr>
        <a:xfrm>
          <a:off x="1911880" y="4555668"/>
          <a:ext cx="501556" cy="339791"/>
        </a:xfrm>
        <a:prstGeom prst="ellipse">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DE" sz="1200">
              <a:solidFill>
                <a:sysClr val="windowText" lastClr="000000"/>
              </a:solidFill>
              <a:latin typeface="Arial" panose="020B0604020202020204" pitchFamily="34" charset="0"/>
              <a:cs typeface="Arial" panose="020B0604020202020204" pitchFamily="34" charset="0"/>
            </a:rPr>
            <a:t>4</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304</xdr:row>
          <xdr:rowOff>9525</xdr:rowOff>
        </xdr:from>
        <xdr:to>
          <xdr:col>3</xdr:col>
          <xdr:colOff>485775</xdr:colOff>
          <xdr:row>304</xdr:row>
          <xdr:rowOff>180975</xdr:rowOff>
        </xdr:to>
        <xdr:sp macro="" textlink="">
          <xdr:nvSpPr>
            <xdr:cNvPr id="183268" name="Drop Down 35812" hidden="1">
              <a:extLst>
                <a:ext uri="{63B3BB69-23CF-44E3-9099-C40C66FF867C}">
                  <a14:compatExt spid="_x0000_s183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305</xdr:row>
          <xdr:rowOff>9525</xdr:rowOff>
        </xdr:from>
        <xdr:to>
          <xdr:col>3</xdr:col>
          <xdr:colOff>485775</xdr:colOff>
          <xdr:row>305</xdr:row>
          <xdr:rowOff>180975</xdr:rowOff>
        </xdr:to>
        <xdr:sp macro="" textlink="">
          <xdr:nvSpPr>
            <xdr:cNvPr id="186470" name="Drop Down 35942" hidden="1">
              <a:extLst>
                <a:ext uri="{63B3BB69-23CF-44E3-9099-C40C66FF867C}">
                  <a14:compatExt spid="_x0000_s186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306</xdr:row>
          <xdr:rowOff>9525</xdr:rowOff>
        </xdr:from>
        <xdr:to>
          <xdr:col>3</xdr:col>
          <xdr:colOff>485775</xdr:colOff>
          <xdr:row>306</xdr:row>
          <xdr:rowOff>180975</xdr:rowOff>
        </xdr:to>
        <xdr:sp macro="" textlink="">
          <xdr:nvSpPr>
            <xdr:cNvPr id="186471" name="Drop Down 35943" hidden="1">
              <a:extLst>
                <a:ext uri="{63B3BB69-23CF-44E3-9099-C40C66FF867C}">
                  <a14:compatExt spid="_x0000_s186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307</xdr:row>
          <xdr:rowOff>9525</xdr:rowOff>
        </xdr:from>
        <xdr:to>
          <xdr:col>3</xdr:col>
          <xdr:colOff>485775</xdr:colOff>
          <xdr:row>307</xdr:row>
          <xdr:rowOff>180975</xdr:rowOff>
        </xdr:to>
        <xdr:sp macro="" textlink="">
          <xdr:nvSpPr>
            <xdr:cNvPr id="186472" name="Drop Down 35944" hidden="1">
              <a:extLst>
                <a:ext uri="{63B3BB69-23CF-44E3-9099-C40C66FF867C}">
                  <a14:compatExt spid="_x0000_s186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308</xdr:row>
          <xdr:rowOff>9525</xdr:rowOff>
        </xdr:from>
        <xdr:to>
          <xdr:col>3</xdr:col>
          <xdr:colOff>485775</xdr:colOff>
          <xdr:row>308</xdr:row>
          <xdr:rowOff>180975</xdr:rowOff>
        </xdr:to>
        <xdr:sp macro="" textlink="">
          <xdr:nvSpPr>
            <xdr:cNvPr id="186473" name="Drop Down 35945" hidden="1">
              <a:extLst>
                <a:ext uri="{63B3BB69-23CF-44E3-9099-C40C66FF867C}">
                  <a14:compatExt spid="_x0000_s186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309</xdr:row>
          <xdr:rowOff>9525</xdr:rowOff>
        </xdr:from>
        <xdr:to>
          <xdr:col>3</xdr:col>
          <xdr:colOff>485775</xdr:colOff>
          <xdr:row>309</xdr:row>
          <xdr:rowOff>180975</xdr:rowOff>
        </xdr:to>
        <xdr:sp macro="" textlink="">
          <xdr:nvSpPr>
            <xdr:cNvPr id="186474" name="Drop Down 35946" hidden="1">
              <a:extLst>
                <a:ext uri="{63B3BB69-23CF-44E3-9099-C40C66FF867C}">
                  <a14:compatExt spid="_x0000_s186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310</xdr:row>
          <xdr:rowOff>9525</xdr:rowOff>
        </xdr:from>
        <xdr:to>
          <xdr:col>3</xdr:col>
          <xdr:colOff>485775</xdr:colOff>
          <xdr:row>310</xdr:row>
          <xdr:rowOff>180975</xdr:rowOff>
        </xdr:to>
        <xdr:sp macro="" textlink="">
          <xdr:nvSpPr>
            <xdr:cNvPr id="186475" name="Drop Down 35947" hidden="1">
              <a:extLst>
                <a:ext uri="{63B3BB69-23CF-44E3-9099-C40C66FF867C}">
                  <a14:compatExt spid="_x0000_s186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311</xdr:row>
          <xdr:rowOff>9525</xdr:rowOff>
        </xdr:from>
        <xdr:to>
          <xdr:col>3</xdr:col>
          <xdr:colOff>485775</xdr:colOff>
          <xdr:row>311</xdr:row>
          <xdr:rowOff>180975</xdr:rowOff>
        </xdr:to>
        <xdr:sp macro="" textlink="">
          <xdr:nvSpPr>
            <xdr:cNvPr id="186476" name="Drop Down 35948" hidden="1">
              <a:extLst>
                <a:ext uri="{63B3BB69-23CF-44E3-9099-C40C66FF867C}">
                  <a14:compatExt spid="_x0000_s186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312</xdr:row>
          <xdr:rowOff>9525</xdr:rowOff>
        </xdr:from>
        <xdr:to>
          <xdr:col>3</xdr:col>
          <xdr:colOff>485775</xdr:colOff>
          <xdr:row>312</xdr:row>
          <xdr:rowOff>180975</xdr:rowOff>
        </xdr:to>
        <xdr:sp macro="" textlink="">
          <xdr:nvSpPr>
            <xdr:cNvPr id="186477" name="Drop Down 35949" hidden="1">
              <a:extLst>
                <a:ext uri="{63B3BB69-23CF-44E3-9099-C40C66FF867C}">
                  <a14:compatExt spid="_x0000_s186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313</xdr:row>
          <xdr:rowOff>9525</xdr:rowOff>
        </xdr:from>
        <xdr:to>
          <xdr:col>3</xdr:col>
          <xdr:colOff>485775</xdr:colOff>
          <xdr:row>313</xdr:row>
          <xdr:rowOff>180975</xdr:rowOff>
        </xdr:to>
        <xdr:sp macro="" textlink="">
          <xdr:nvSpPr>
            <xdr:cNvPr id="186478" name="Drop Down 35950" hidden="1">
              <a:extLst>
                <a:ext uri="{63B3BB69-23CF-44E3-9099-C40C66FF867C}">
                  <a14:compatExt spid="_x0000_s186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314</xdr:row>
          <xdr:rowOff>9525</xdr:rowOff>
        </xdr:from>
        <xdr:to>
          <xdr:col>3</xdr:col>
          <xdr:colOff>485775</xdr:colOff>
          <xdr:row>314</xdr:row>
          <xdr:rowOff>180975</xdr:rowOff>
        </xdr:to>
        <xdr:sp macro="" textlink="">
          <xdr:nvSpPr>
            <xdr:cNvPr id="186479" name="Drop Down 35951" hidden="1">
              <a:extLst>
                <a:ext uri="{63B3BB69-23CF-44E3-9099-C40C66FF867C}">
                  <a14:compatExt spid="_x0000_s186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315</xdr:row>
          <xdr:rowOff>9525</xdr:rowOff>
        </xdr:from>
        <xdr:to>
          <xdr:col>3</xdr:col>
          <xdr:colOff>485775</xdr:colOff>
          <xdr:row>315</xdr:row>
          <xdr:rowOff>180975</xdr:rowOff>
        </xdr:to>
        <xdr:sp macro="" textlink="">
          <xdr:nvSpPr>
            <xdr:cNvPr id="186480" name="Drop Down 35952" hidden="1">
              <a:extLst>
                <a:ext uri="{63B3BB69-23CF-44E3-9099-C40C66FF867C}">
                  <a14:compatExt spid="_x0000_s186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316</xdr:row>
          <xdr:rowOff>9525</xdr:rowOff>
        </xdr:from>
        <xdr:to>
          <xdr:col>3</xdr:col>
          <xdr:colOff>485775</xdr:colOff>
          <xdr:row>316</xdr:row>
          <xdr:rowOff>180975</xdr:rowOff>
        </xdr:to>
        <xdr:sp macro="" textlink="">
          <xdr:nvSpPr>
            <xdr:cNvPr id="186481" name="Drop Down 35953" hidden="1">
              <a:extLst>
                <a:ext uri="{63B3BB69-23CF-44E3-9099-C40C66FF867C}">
                  <a14:compatExt spid="_x0000_s186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317</xdr:row>
          <xdr:rowOff>9525</xdr:rowOff>
        </xdr:from>
        <xdr:to>
          <xdr:col>3</xdr:col>
          <xdr:colOff>485775</xdr:colOff>
          <xdr:row>317</xdr:row>
          <xdr:rowOff>180975</xdr:rowOff>
        </xdr:to>
        <xdr:sp macro="" textlink="">
          <xdr:nvSpPr>
            <xdr:cNvPr id="186482" name="Drop Down 35954" hidden="1">
              <a:extLst>
                <a:ext uri="{63B3BB69-23CF-44E3-9099-C40C66FF867C}">
                  <a14:compatExt spid="_x0000_s186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318</xdr:row>
          <xdr:rowOff>9525</xdr:rowOff>
        </xdr:from>
        <xdr:to>
          <xdr:col>3</xdr:col>
          <xdr:colOff>485775</xdr:colOff>
          <xdr:row>318</xdr:row>
          <xdr:rowOff>180975</xdr:rowOff>
        </xdr:to>
        <xdr:sp macro="" textlink="">
          <xdr:nvSpPr>
            <xdr:cNvPr id="186483" name="Drop Down 35955" hidden="1">
              <a:extLst>
                <a:ext uri="{63B3BB69-23CF-44E3-9099-C40C66FF867C}">
                  <a14:compatExt spid="_x0000_s186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319</xdr:row>
          <xdr:rowOff>9525</xdr:rowOff>
        </xdr:from>
        <xdr:to>
          <xdr:col>3</xdr:col>
          <xdr:colOff>485775</xdr:colOff>
          <xdr:row>319</xdr:row>
          <xdr:rowOff>180975</xdr:rowOff>
        </xdr:to>
        <xdr:sp macro="" textlink="">
          <xdr:nvSpPr>
            <xdr:cNvPr id="186484" name="Drop Down 35956" hidden="1">
              <a:extLst>
                <a:ext uri="{63B3BB69-23CF-44E3-9099-C40C66FF867C}">
                  <a14:compatExt spid="_x0000_s186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320</xdr:row>
          <xdr:rowOff>9525</xdr:rowOff>
        </xdr:from>
        <xdr:to>
          <xdr:col>3</xdr:col>
          <xdr:colOff>485775</xdr:colOff>
          <xdr:row>320</xdr:row>
          <xdr:rowOff>180975</xdr:rowOff>
        </xdr:to>
        <xdr:sp macro="" textlink="">
          <xdr:nvSpPr>
            <xdr:cNvPr id="186485" name="Drop Down 35957" hidden="1">
              <a:extLst>
                <a:ext uri="{63B3BB69-23CF-44E3-9099-C40C66FF867C}">
                  <a14:compatExt spid="_x0000_s186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321</xdr:row>
          <xdr:rowOff>9525</xdr:rowOff>
        </xdr:from>
        <xdr:to>
          <xdr:col>3</xdr:col>
          <xdr:colOff>485775</xdr:colOff>
          <xdr:row>321</xdr:row>
          <xdr:rowOff>180975</xdr:rowOff>
        </xdr:to>
        <xdr:sp macro="" textlink="">
          <xdr:nvSpPr>
            <xdr:cNvPr id="186486" name="Drop Down 35958" hidden="1">
              <a:extLst>
                <a:ext uri="{63B3BB69-23CF-44E3-9099-C40C66FF867C}">
                  <a14:compatExt spid="_x0000_s186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322</xdr:row>
          <xdr:rowOff>9525</xdr:rowOff>
        </xdr:from>
        <xdr:to>
          <xdr:col>3</xdr:col>
          <xdr:colOff>485775</xdr:colOff>
          <xdr:row>322</xdr:row>
          <xdr:rowOff>180975</xdr:rowOff>
        </xdr:to>
        <xdr:sp macro="" textlink="">
          <xdr:nvSpPr>
            <xdr:cNvPr id="186487" name="Drop Down 35959" hidden="1">
              <a:extLst>
                <a:ext uri="{63B3BB69-23CF-44E3-9099-C40C66FF867C}">
                  <a14:compatExt spid="_x0000_s186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323</xdr:row>
          <xdr:rowOff>9525</xdr:rowOff>
        </xdr:from>
        <xdr:to>
          <xdr:col>3</xdr:col>
          <xdr:colOff>485775</xdr:colOff>
          <xdr:row>323</xdr:row>
          <xdr:rowOff>180975</xdr:rowOff>
        </xdr:to>
        <xdr:sp macro="" textlink="">
          <xdr:nvSpPr>
            <xdr:cNvPr id="186488" name="Drop Down 35960" hidden="1">
              <a:extLst>
                <a:ext uri="{63B3BB69-23CF-44E3-9099-C40C66FF867C}">
                  <a14:compatExt spid="_x0000_s186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324</xdr:row>
          <xdr:rowOff>9525</xdr:rowOff>
        </xdr:from>
        <xdr:to>
          <xdr:col>3</xdr:col>
          <xdr:colOff>485775</xdr:colOff>
          <xdr:row>324</xdr:row>
          <xdr:rowOff>180975</xdr:rowOff>
        </xdr:to>
        <xdr:sp macro="" textlink="">
          <xdr:nvSpPr>
            <xdr:cNvPr id="186489" name="Drop Down 35961" hidden="1">
              <a:extLst>
                <a:ext uri="{63B3BB69-23CF-44E3-9099-C40C66FF867C}">
                  <a14:compatExt spid="_x0000_s186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325</xdr:row>
          <xdr:rowOff>9525</xdr:rowOff>
        </xdr:from>
        <xdr:to>
          <xdr:col>3</xdr:col>
          <xdr:colOff>485775</xdr:colOff>
          <xdr:row>325</xdr:row>
          <xdr:rowOff>180975</xdr:rowOff>
        </xdr:to>
        <xdr:sp macro="" textlink="">
          <xdr:nvSpPr>
            <xdr:cNvPr id="186490" name="Drop Down 35962" hidden="1">
              <a:extLst>
                <a:ext uri="{63B3BB69-23CF-44E3-9099-C40C66FF867C}">
                  <a14:compatExt spid="_x0000_s186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326</xdr:row>
          <xdr:rowOff>9525</xdr:rowOff>
        </xdr:from>
        <xdr:to>
          <xdr:col>3</xdr:col>
          <xdr:colOff>485775</xdr:colOff>
          <xdr:row>326</xdr:row>
          <xdr:rowOff>180975</xdr:rowOff>
        </xdr:to>
        <xdr:sp macro="" textlink="">
          <xdr:nvSpPr>
            <xdr:cNvPr id="186491" name="Drop Down 35963" hidden="1">
              <a:extLst>
                <a:ext uri="{63B3BB69-23CF-44E3-9099-C40C66FF867C}">
                  <a14:compatExt spid="_x0000_s186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327</xdr:row>
          <xdr:rowOff>9525</xdr:rowOff>
        </xdr:from>
        <xdr:to>
          <xdr:col>3</xdr:col>
          <xdr:colOff>485775</xdr:colOff>
          <xdr:row>327</xdr:row>
          <xdr:rowOff>180975</xdr:rowOff>
        </xdr:to>
        <xdr:sp macro="" textlink="">
          <xdr:nvSpPr>
            <xdr:cNvPr id="186492" name="Drop Down 35964" hidden="1">
              <a:extLst>
                <a:ext uri="{63B3BB69-23CF-44E3-9099-C40C66FF867C}">
                  <a14:compatExt spid="_x0000_s186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328</xdr:row>
          <xdr:rowOff>9525</xdr:rowOff>
        </xdr:from>
        <xdr:to>
          <xdr:col>3</xdr:col>
          <xdr:colOff>485775</xdr:colOff>
          <xdr:row>328</xdr:row>
          <xdr:rowOff>180975</xdr:rowOff>
        </xdr:to>
        <xdr:sp macro="" textlink="">
          <xdr:nvSpPr>
            <xdr:cNvPr id="186493" name="Drop Down 35965" hidden="1">
              <a:extLst>
                <a:ext uri="{63B3BB69-23CF-44E3-9099-C40C66FF867C}">
                  <a14:compatExt spid="_x0000_s186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329</xdr:row>
          <xdr:rowOff>9525</xdr:rowOff>
        </xdr:from>
        <xdr:to>
          <xdr:col>3</xdr:col>
          <xdr:colOff>485775</xdr:colOff>
          <xdr:row>329</xdr:row>
          <xdr:rowOff>180975</xdr:rowOff>
        </xdr:to>
        <xdr:sp macro="" textlink="">
          <xdr:nvSpPr>
            <xdr:cNvPr id="186494" name="Drop Down 35966" hidden="1">
              <a:extLst>
                <a:ext uri="{63B3BB69-23CF-44E3-9099-C40C66FF867C}">
                  <a14:compatExt spid="_x0000_s186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330</xdr:row>
          <xdr:rowOff>9525</xdr:rowOff>
        </xdr:from>
        <xdr:to>
          <xdr:col>3</xdr:col>
          <xdr:colOff>485775</xdr:colOff>
          <xdr:row>330</xdr:row>
          <xdr:rowOff>180975</xdr:rowOff>
        </xdr:to>
        <xdr:sp macro="" textlink="">
          <xdr:nvSpPr>
            <xdr:cNvPr id="186495" name="Drop Down 35967" hidden="1">
              <a:extLst>
                <a:ext uri="{63B3BB69-23CF-44E3-9099-C40C66FF867C}">
                  <a14:compatExt spid="_x0000_s186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331</xdr:row>
          <xdr:rowOff>9525</xdr:rowOff>
        </xdr:from>
        <xdr:to>
          <xdr:col>3</xdr:col>
          <xdr:colOff>485775</xdr:colOff>
          <xdr:row>331</xdr:row>
          <xdr:rowOff>180975</xdr:rowOff>
        </xdr:to>
        <xdr:sp macro="" textlink="">
          <xdr:nvSpPr>
            <xdr:cNvPr id="186496" name="Drop Down 35968" hidden="1">
              <a:extLst>
                <a:ext uri="{63B3BB69-23CF-44E3-9099-C40C66FF867C}">
                  <a14:compatExt spid="_x0000_s186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332</xdr:row>
          <xdr:rowOff>9525</xdr:rowOff>
        </xdr:from>
        <xdr:to>
          <xdr:col>3</xdr:col>
          <xdr:colOff>485775</xdr:colOff>
          <xdr:row>332</xdr:row>
          <xdr:rowOff>180975</xdr:rowOff>
        </xdr:to>
        <xdr:sp macro="" textlink="">
          <xdr:nvSpPr>
            <xdr:cNvPr id="186497" name="Drop Down 35969" hidden="1">
              <a:extLst>
                <a:ext uri="{63B3BB69-23CF-44E3-9099-C40C66FF867C}">
                  <a14:compatExt spid="_x0000_s186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333</xdr:row>
          <xdr:rowOff>9525</xdr:rowOff>
        </xdr:from>
        <xdr:to>
          <xdr:col>3</xdr:col>
          <xdr:colOff>485775</xdr:colOff>
          <xdr:row>333</xdr:row>
          <xdr:rowOff>180975</xdr:rowOff>
        </xdr:to>
        <xdr:sp macro="" textlink="">
          <xdr:nvSpPr>
            <xdr:cNvPr id="186498" name="Drop Down 35970" hidden="1">
              <a:extLst>
                <a:ext uri="{63B3BB69-23CF-44E3-9099-C40C66FF867C}">
                  <a14:compatExt spid="_x0000_s186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9525</xdr:rowOff>
        </xdr:from>
        <xdr:to>
          <xdr:col>5</xdr:col>
          <xdr:colOff>200025</xdr:colOff>
          <xdr:row>5</xdr:row>
          <xdr:rowOff>9525</xdr:rowOff>
        </xdr:to>
        <xdr:sp macro="" textlink="">
          <xdr:nvSpPr>
            <xdr:cNvPr id="190402" name="Drop Down 37826" hidden="1">
              <a:extLst>
                <a:ext uri="{63B3BB69-23CF-44E3-9099-C40C66FF867C}">
                  <a14:compatExt spid="_x0000_s19040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xdr:row>
          <xdr:rowOff>19050</xdr:rowOff>
        </xdr:from>
        <xdr:to>
          <xdr:col>0</xdr:col>
          <xdr:colOff>971550</xdr:colOff>
          <xdr:row>6</xdr:row>
          <xdr:rowOff>190500</xdr:rowOff>
        </xdr:to>
        <xdr:sp macro="" textlink="">
          <xdr:nvSpPr>
            <xdr:cNvPr id="14361" name="Drop Down 25"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xdr:row>
          <xdr:rowOff>19050</xdr:rowOff>
        </xdr:from>
        <xdr:to>
          <xdr:col>0</xdr:col>
          <xdr:colOff>971550</xdr:colOff>
          <xdr:row>7</xdr:row>
          <xdr:rowOff>190500</xdr:rowOff>
        </xdr:to>
        <xdr:sp macro="" textlink="">
          <xdr:nvSpPr>
            <xdr:cNvPr id="14362" name="Drop Down 26"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19050</xdr:rowOff>
        </xdr:from>
        <xdr:to>
          <xdr:col>0</xdr:col>
          <xdr:colOff>962025</xdr:colOff>
          <xdr:row>8</xdr:row>
          <xdr:rowOff>190500</xdr:rowOff>
        </xdr:to>
        <xdr:sp macro="" textlink="">
          <xdr:nvSpPr>
            <xdr:cNvPr id="14364" name="Drop Down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xdr:twoCellAnchor editAs="oneCell">
    <xdr:from>
      <xdr:col>15</xdr:col>
      <xdr:colOff>447675</xdr:colOff>
      <xdr:row>1</xdr:row>
      <xdr:rowOff>57150</xdr:rowOff>
    </xdr:from>
    <xdr:to>
      <xdr:col>17</xdr:col>
      <xdr:colOff>685800</xdr:colOff>
      <xdr:row>1</xdr:row>
      <xdr:rowOff>847725</xdr:rowOff>
    </xdr:to>
    <xdr:pic>
      <xdr:nvPicPr>
        <xdr:cNvPr id="185635"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075" y="25717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9</xdr:row>
          <xdr:rowOff>19050</xdr:rowOff>
        </xdr:from>
        <xdr:to>
          <xdr:col>0</xdr:col>
          <xdr:colOff>962025</xdr:colOff>
          <xdr:row>9</xdr:row>
          <xdr:rowOff>190500</xdr:rowOff>
        </xdr:to>
        <xdr:sp macro="" textlink="">
          <xdr:nvSpPr>
            <xdr:cNvPr id="15172" name="Drop Down 836" hidden="1">
              <a:extLst>
                <a:ext uri="{63B3BB69-23CF-44E3-9099-C40C66FF867C}">
                  <a14:compatExt spid="_x0000_s1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19050</xdr:rowOff>
        </xdr:from>
        <xdr:to>
          <xdr:col>0</xdr:col>
          <xdr:colOff>962025</xdr:colOff>
          <xdr:row>10</xdr:row>
          <xdr:rowOff>190500</xdr:rowOff>
        </xdr:to>
        <xdr:sp macro="" textlink="">
          <xdr:nvSpPr>
            <xdr:cNvPr id="15173" name="Drop Down 837" hidden="1">
              <a:extLst>
                <a:ext uri="{63B3BB69-23CF-44E3-9099-C40C66FF867C}">
                  <a14:compatExt spid="_x0000_s1517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69363</xdr:colOff>
      <xdr:row>28</xdr:row>
      <xdr:rowOff>94627</xdr:rowOff>
    </xdr:from>
    <xdr:ext cx="412491" cy="516167"/>
    <xdr:sp macro="" textlink="">
      <xdr:nvSpPr>
        <xdr:cNvPr id="2" name="Textfeld 1"/>
        <xdr:cNvSpPr txBox="1">
          <a:spLocks/>
        </xdr:cNvSpPr>
      </xdr:nvSpPr>
      <xdr:spPr>
        <a:xfrm>
          <a:off x="3126888" y="3885577"/>
          <a:ext cx="412491" cy="516167"/>
        </a:xfrm>
        <a:prstGeom prst="rect">
          <a:avLst/>
        </a:prstGeom>
        <a:pattFill prst="pct50">
          <a:fgClr>
            <a:srgbClr val="FFFF99"/>
          </a:fgClr>
          <a:bgClr>
            <a:sysClr val="window" lastClr="FFFFFF">
              <a:lumMod val="75000"/>
            </a:sysClr>
          </a:bgClr>
        </a:pattFill>
        <a:ln w="6350" cmpd="sng">
          <a:solidFill>
            <a:sysClr val="windowText" lastClr="000000"/>
          </a:solidFill>
        </a:ln>
        <a:effectLst/>
      </xdr:spPr>
      <xdr:txBody>
        <a:bodyPr vertOverflow="clip" horzOverflow="clip" wrap="square" lIns="10800" tIns="0" rIns="1080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Nicht </a:t>
          </a: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wenn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Zuchtsau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mit Ferkel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bis 28 kg</a:t>
          </a:r>
        </a:p>
      </xdr:txBody>
    </xdr:sp>
    <xdr:clientData/>
  </xdr:oneCellAnchor>
  <xdr:twoCellAnchor>
    <xdr:from>
      <xdr:col>1</xdr:col>
      <xdr:colOff>2543175</xdr:colOff>
      <xdr:row>29</xdr:row>
      <xdr:rowOff>161925</xdr:rowOff>
    </xdr:from>
    <xdr:to>
      <xdr:col>2</xdr:col>
      <xdr:colOff>76200</xdr:colOff>
      <xdr:row>29</xdr:row>
      <xdr:rowOff>161925</xdr:rowOff>
    </xdr:to>
    <xdr:cxnSp macro="">
      <xdr:nvCxnSpPr>
        <xdr:cNvPr id="223983" name="Gerade Verbindung mit Pfeil 200"/>
        <xdr:cNvCxnSpPr>
          <a:cxnSpLocks noChangeShapeType="1"/>
        </xdr:cNvCxnSpPr>
      </xdr:nvCxnSpPr>
      <xdr:spPr bwMode="auto">
        <a:xfrm flipH="1">
          <a:off x="2828925" y="4048125"/>
          <a:ext cx="30480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5</xdr:row>
      <xdr:rowOff>66675</xdr:rowOff>
    </xdr:from>
    <xdr:to>
      <xdr:col>3</xdr:col>
      <xdr:colOff>285750</xdr:colOff>
      <xdr:row>5</xdr:row>
      <xdr:rowOff>104775</xdr:rowOff>
    </xdr:to>
    <xdr:sp macro="" textlink="">
      <xdr:nvSpPr>
        <xdr:cNvPr id="223984" name="Eingekerbter Pfeil nach rechts 201"/>
        <xdr:cNvSpPr>
          <a:spLocks noChangeArrowheads="1"/>
        </xdr:cNvSpPr>
      </xdr:nvSpPr>
      <xdr:spPr bwMode="auto">
        <a:xfrm>
          <a:off x="3152775" y="771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8</xdr:row>
      <xdr:rowOff>66675</xdr:rowOff>
    </xdr:from>
    <xdr:to>
      <xdr:col>3</xdr:col>
      <xdr:colOff>285750</xdr:colOff>
      <xdr:row>8</xdr:row>
      <xdr:rowOff>104775</xdr:rowOff>
    </xdr:to>
    <xdr:sp macro="" textlink="">
      <xdr:nvSpPr>
        <xdr:cNvPr id="223985" name="Eingekerbter Pfeil nach rechts 202"/>
        <xdr:cNvSpPr>
          <a:spLocks noChangeArrowheads="1"/>
        </xdr:cNvSpPr>
      </xdr:nvSpPr>
      <xdr:spPr bwMode="auto">
        <a:xfrm>
          <a:off x="3152775" y="1152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47625</xdr:colOff>
      <xdr:row>15</xdr:row>
      <xdr:rowOff>95250</xdr:rowOff>
    </xdr:from>
    <xdr:to>
      <xdr:col>3</xdr:col>
      <xdr:colOff>342900</xdr:colOff>
      <xdr:row>15</xdr:row>
      <xdr:rowOff>133350</xdr:rowOff>
    </xdr:to>
    <xdr:sp macro="" textlink="">
      <xdr:nvSpPr>
        <xdr:cNvPr id="223986" name="Eingekerbter Pfeil nach rechts 203"/>
        <xdr:cNvSpPr>
          <a:spLocks noChangeArrowheads="1"/>
        </xdr:cNvSpPr>
      </xdr:nvSpPr>
      <xdr:spPr bwMode="auto">
        <a:xfrm rot="-300000">
          <a:off x="3105150" y="210502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95250</xdr:colOff>
      <xdr:row>12</xdr:row>
      <xdr:rowOff>66675</xdr:rowOff>
    </xdr:from>
    <xdr:to>
      <xdr:col>3</xdr:col>
      <xdr:colOff>285750</xdr:colOff>
      <xdr:row>12</xdr:row>
      <xdr:rowOff>104775</xdr:rowOff>
    </xdr:to>
    <xdr:sp macro="" textlink="">
      <xdr:nvSpPr>
        <xdr:cNvPr id="223987" name="Eingekerbter Pfeil nach rechts 204"/>
        <xdr:cNvSpPr>
          <a:spLocks noChangeArrowheads="1"/>
        </xdr:cNvSpPr>
      </xdr:nvSpPr>
      <xdr:spPr bwMode="auto">
        <a:xfrm>
          <a:off x="3152775" y="1695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74</xdr:row>
      <xdr:rowOff>66675</xdr:rowOff>
    </xdr:from>
    <xdr:to>
      <xdr:col>3</xdr:col>
      <xdr:colOff>295275</xdr:colOff>
      <xdr:row>74</xdr:row>
      <xdr:rowOff>95250</xdr:rowOff>
    </xdr:to>
    <xdr:sp macro="" textlink="">
      <xdr:nvSpPr>
        <xdr:cNvPr id="223988" name="Eingekerbter Pfeil nach rechts 205"/>
        <xdr:cNvSpPr>
          <a:spLocks noChangeArrowheads="1"/>
        </xdr:cNvSpPr>
      </xdr:nvSpPr>
      <xdr:spPr bwMode="auto">
        <a:xfrm>
          <a:off x="3152775" y="10086975"/>
          <a:ext cx="352425" cy="28575"/>
        </a:xfrm>
        <a:prstGeom prst="notchedRightArrow">
          <a:avLst>
            <a:gd name="adj1" fmla="val 50000"/>
            <a:gd name="adj2" fmla="val 56299"/>
          </a:avLst>
        </a:prstGeom>
        <a:solidFill>
          <a:srgbClr val="FF0000"/>
        </a:solidFill>
        <a:ln w="6350" algn="ctr">
          <a:solidFill>
            <a:srgbClr val="000000"/>
          </a:solidFill>
          <a:miter lim="800000"/>
          <a:headEnd/>
          <a:tailEnd/>
        </a:ln>
      </xdr:spPr>
    </xdr:sp>
    <xdr:clientData/>
  </xdr:twoCellAnchor>
  <xdr:twoCellAnchor>
    <xdr:from>
      <xdr:col>2</xdr:col>
      <xdr:colOff>133350</xdr:colOff>
      <xdr:row>23</xdr:row>
      <xdr:rowOff>152400</xdr:rowOff>
    </xdr:from>
    <xdr:to>
      <xdr:col>3</xdr:col>
      <xdr:colOff>295275</xdr:colOff>
      <xdr:row>24</xdr:row>
      <xdr:rowOff>28575</xdr:rowOff>
    </xdr:to>
    <xdr:sp macro="" textlink="">
      <xdr:nvSpPr>
        <xdr:cNvPr id="223989" name="Eingekerbter Pfeil nach rechts 206"/>
        <xdr:cNvSpPr>
          <a:spLocks noChangeArrowheads="1"/>
        </xdr:cNvSpPr>
      </xdr:nvSpPr>
      <xdr:spPr bwMode="auto">
        <a:xfrm>
          <a:off x="3190875" y="3238500"/>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123825</xdr:colOff>
      <xdr:row>20</xdr:row>
      <xdr:rowOff>57150</xdr:rowOff>
    </xdr:from>
    <xdr:to>
      <xdr:col>3</xdr:col>
      <xdr:colOff>285750</xdr:colOff>
      <xdr:row>20</xdr:row>
      <xdr:rowOff>95250</xdr:rowOff>
    </xdr:to>
    <xdr:sp macro="" textlink="">
      <xdr:nvSpPr>
        <xdr:cNvPr id="223990" name="Eingekerbter Pfeil nach rechts 207"/>
        <xdr:cNvSpPr>
          <a:spLocks noChangeArrowheads="1"/>
        </xdr:cNvSpPr>
      </xdr:nvSpPr>
      <xdr:spPr bwMode="auto">
        <a:xfrm>
          <a:off x="3181350" y="2771775"/>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28575</xdr:colOff>
      <xdr:row>34</xdr:row>
      <xdr:rowOff>85725</xdr:rowOff>
    </xdr:from>
    <xdr:to>
      <xdr:col>3</xdr:col>
      <xdr:colOff>381000</xdr:colOff>
      <xdr:row>34</xdr:row>
      <xdr:rowOff>123825</xdr:rowOff>
    </xdr:to>
    <xdr:sp macro="" textlink="">
      <xdr:nvSpPr>
        <xdr:cNvPr id="223991" name="Eingekerbter Pfeil nach rechts 208"/>
        <xdr:cNvSpPr>
          <a:spLocks noChangeArrowheads="1"/>
        </xdr:cNvSpPr>
      </xdr:nvSpPr>
      <xdr:spPr bwMode="auto">
        <a:xfrm rot="-1560000">
          <a:off x="3086100" y="4743450"/>
          <a:ext cx="504825" cy="38100"/>
        </a:xfrm>
        <a:prstGeom prst="notchedRightArrow">
          <a:avLst>
            <a:gd name="adj1" fmla="val 50000"/>
            <a:gd name="adj2" fmla="val 43124"/>
          </a:avLst>
        </a:prstGeom>
        <a:solidFill>
          <a:srgbClr val="FF0000"/>
        </a:solidFill>
        <a:ln w="6350" algn="ctr">
          <a:solidFill>
            <a:srgbClr val="000000"/>
          </a:solidFill>
          <a:miter lim="800000"/>
          <a:headEnd/>
          <a:tailEnd/>
        </a:ln>
      </xdr:spPr>
    </xdr:sp>
    <xdr:clientData/>
  </xdr:twoCellAnchor>
  <xdr:twoCellAnchor>
    <xdr:from>
      <xdr:col>2</xdr:col>
      <xdr:colOff>95250</xdr:colOff>
      <xdr:row>26</xdr:row>
      <xdr:rowOff>66675</xdr:rowOff>
    </xdr:from>
    <xdr:to>
      <xdr:col>3</xdr:col>
      <xdr:colOff>285750</xdr:colOff>
      <xdr:row>26</xdr:row>
      <xdr:rowOff>104775</xdr:rowOff>
    </xdr:to>
    <xdr:sp macro="" textlink="">
      <xdr:nvSpPr>
        <xdr:cNvPr id="223992" name="Eingekerbter Pfeil nach rechts 209"/>
        <xdr:cNvSpPr>
          <a:spLocks noChangeArrowheads="1"/>
        </xdr:cNvSpPr>
      </xdr:nvSpPr>
      <xdr:spPr bwMode="auto">
        <a:xfrm>
          <a:off x="3152775" y="35337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xdr:colOff>
      <xdr:row>23</xdr:row>
      <xdr:rowOff>9525</xdr:rowOff>
    </xdr:from>
    <xdr:to>
      <xdr:col>2</xdr:col>
      <xdr:colOff>85725</xdr:colOff>
      <xdr:row>24</xdr:row>
      <xdr:rowOff>161925</xdr:rowOff>
    </xdr:to>
    <xdr:sp macro="" textlink="">
      <xdr:nvSpPr>
        <xdr:cNvPr id="223993" name="Geschweifte Klammer rechts 210"/>
        <xdr:cNvSpPr>
          <a:spLocks/>
        </xdr:cNvSpPr>
      </xdr:nvSpPr>
      <xdr:spPr bwMode="auto">
        <a:xfrm>
          <a:off x="3067050" y="3095625"/>
          <a:ext cx="76200" cy="314325"/>
        </a:xfrm>
        <a:prstGeom prst="rightBrace">
          <a:avLst>
            <a:gd name="adj1" fmla="val 8326"/>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57</xdr:row>
      <xdr:rowOff>28575</xdr:rowOff>
    </xdr:from>
    <xdr:to>
      <xdr:col>3</xdr:col>
      <xdr:colOff>352425</xdr:colOff>
      <xdr:row>57</xdr:row>
      <xdr:rowOff>66675</xdr:rowOff>
    </xdr:to>
    <xdr:sp macro="" textlink="">
      <xdr:nvSpPr>
        <xdr:cNvPr id="223994" name="Eingekerbter Pfeil nach rechts 211"/>
        <xdr:cNvSpPr>
          <a:spLocks noChangeArrowheads="1"/>
        </xdr:cNvSpPr>
      </xdr:nvSpPr>
      <xdr:spPr bwMode="auto">
        <a:xfrm rot="300000">
          <a:off x="3105150" y="7924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59</xdr:row>
      <xdr:rowOff>66675</xdr:rowOff>
    </xdr:from>
    <xdr:to>
      <xdr:col>3</xdr:col>
      <xdr:colOff>295275</xdr:colOff>
      <xdr:row>59</xdr:row>
      <xdr:rowOff>104775</xdr:rowOff>
    </xdr:to>
    <xdr:sp macro="" textlink="">
      <xdr:nvSpPr>
        <xdr:cNvPr id="223995" name="Eingekerbter Pfeil nach rechts 212"/>
        <xdr:cNvSpPr>
          <a:spLocks noChangeArrowheads="1"/>
        </xdr:cNvSpPr>
      </xdr:nvSpPr>
      <xdr:spPr bwMode="auto">
        <a:xfrm>
          <a:off x="3152775" y="818197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twoCellAnchor>
    <xdr:from>
      <xdr:col>2</xdr:col>
      <xdr:colOff>95250</xdr:colOff>
      <xdr:row>66</xdr:row>
      <xdr:rowOff>66675</xdr:rowOff>
    </xdr:from>
    <xdr:to>
      <xdr:col>3</xdr:col>
      <xdr:colOff>285750</xdr:colOff>
      <xdr:row>66</xdr:row>
      <xdr:rowOff>95250</xdr:rowOff>
    </xdr:to>
    <xdr:sp macro="" textlink="">
      <xdr:nvSpPr>
        <xdr:cNvPr id="223996" name="Eingekerbter Pfeil nach rechts 213"/>
        <xdr:cNvSpPr>
          <a:spLocks noChangeArrowheads="1"/>
        </xdr:cNvSpPr>
      </xdr:nvSpPr>
      <xdr:spPr bwMode="auto">
        <a:xfrm>
          <a:off x="3152775" y="910590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57150</xdr:colOff>
      <xdr:row>68</xdr:row>
      <xdr:rowOff>95250</xdr:rowOff>
    </xdr:from>
    <xdr:to>
      <xdr:col>3</xdr:col>
      <xdr:colOff>352425</xdr:colOff>
      <xdr:row>68</xdr:row>
      <xdr:rowOff>133350</xdr:rowOff>
    </xdr:to>
    <xdr:sp macro="" textlink="">
      <xdr:nvSpPr>
        <xdr:cNvPr id="223997" name="Eingekerbter Pfeil nach rechts 214"/>
        <xdr:cNvSpPr>
          <a:spLocks noChangeArrowheads="1"/>
        </xdr:cNvSpPr>
      </xdr:nvSpPr>
      <xdr:spPr bwMode="auto">
        <a:xfrm rot="-300000">
          <a:off x="3114675" y="935355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72</xdr:row>
      <xdr:rowOff>28575</xdr:rowOff>
    </xdr:from>
    <xdr:to>
      <xdr:col>3</xdr:col>
      <xdr:colOff>352425</xdr:colOff>
      <xdr:row>72</xdr:row>
      <xdr:rowOff>66675</xdr:rowOff>
    </xdr:to>
    <xdr:sp macro="" textlink="">
      <xdr:nvSpPr>
        <xdr:cNvPr id="223998" name="Eingekerbter Pfeil nach rechts 215"/>
        <xdr:cNvSpPr>
          <a:spLocks noChangeArrowheads="1"/>
        </xdr:cNvSpPr>
      </xdr:nvSpPr>
      <xdr:spPr bwMode="auto">
        <a:xfrm rot="300000">
          <a:off x="3105150" y="9829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7</xdr:row>
      <xdr:rowOff>66675</xdr:rowOff>
    </xdr:from>
    <xdr:to>
      <xdr:col>3</xdr:col>
      <xdr:colOff>285750</xdr:colOff>
      <xdr:row>7</xdr:row>
      <xdr:rowOff>104775</xdr:rowOff>
    </xdr:to>
    <xdr:sp macro="" textlink="">
      <xdr:nvSpPr>
        <xdr:cNvPr id="223999" name="Eingekerbter Pfeil nach rechts 216"/>
        <xdr:cNvSpPr>
          <a:spLocks noChangeArrowheads="1"/>
        </xdr:cNvSpPr>
      </xdr:nvSpPr>
      <xdr:spPr bwMode="auto">
        <a:xfrm>
          <a:off x="3152775" y="99060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9</xdr:row>
      <xdr:rowOff>66675</xdr:rowOff>
    </xdr:from>
    <xdr:to>
      <xdr:col>3</xdr:col>
      <xdr:colOff>285750</xdr:colOff>
      <xdr:row>9</xdr:row>
      <xdr:rowOff>104775</xdr:rowOff>
    </xdr:to>
    <xdr:sp macro="" textlink="">
      <xdr:nvSpPr>
        <xdr:cNvPr id="224000" name="Eingekerbter Pfeil nach rechts 217"/>
        <xdr:cNvSpPr>
          <a:spLocks noChangeArrowheads="1"/>
        </xdr:cNvSpPr>
      </xdr:nvSpPr>
      <xdr:spPr bwMode="auto">
        <a:xfrm>
          <a:off x="3152775" y="1314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11</xdr:row>
      <xdr:rowOff>76200</xdr:rowOff>
    </xdr:from>
    <xdr:to>
      <xdr:col>3</xdr:col>
      <xdr:colOff>285750</xdr:colOff>
      <xdr:row>11</xdr:row>
      <xdr:rowOff>104775</xdr:rowOff>
    </xdr:to>
    <xdr:sp macro="" textlink="">
      <xdr:nvSpPr>
        <xdr:cNvPr id="224001" name="Eingekerbter Pfeil nach rechts 218"/>
        <xdr:cNvSpPr>
          <a:spLocks/>
        </xdr:cNvSpPr>
      </xdr:nvSpPr>
      <xdr:spPr bwMode="auto">
        <a:xfrm>
          <a:off x="3152775" y="154305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95250</xdr:colOff>
      <xdr:row>13</xdr:row>
      <xdr:rowOff>66675</xdr:rowOff>
    </xdr:from>
    <xdr:to>
      <xdr:col>3</xdr:col>
      <xdr:colOff>285750</xdr:colOff>
      <xdr:row>13</xdr:row>
      <xdr:rowOff>95250</xdr:rowOff>
    </xdr:to>
    <xdr:sp macro="" textlink="">
      <xdr:nvSpPr>
        <xdr:cNvPr id="224002" name="Eingekerbter Pfeil nach rechts 219"/>
        <xdr:cNvSpPr>
          <a:spLocks noChangeArrowheads="1"/>
        </xdr:cNvSpPr>
      </xdr:nvSpPr>
      <xdr:spPr bwMode="auto">
        <a:xfrm>
          <a:off x="3152775" y="1857375"/>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47625</xdr:colOff>
      <xdr:row>16</xdr:row>
      <xdr:rowOff>28575</xdr:rowOff>
    </xdr:from>
    <xdr:to>
      <xdr:col>3</xdr:col>
      <xdr:colOff>352425</xdr:colOff>
      <xdr:row>16</xdr:row>
      <xdr:rowOff>66675</xdr:rowOff>
    </xdr:to>
    <xdr:sp macro="" textlink="">
      <xdr:nvSpPr>
        <xdr:cNvPr id="224003" name="Eingekerbter Pfeil nach rechts 220"/>
        <xdr:cNvSpPr>
          <a:spLocks noChangeArrowheads="1"/>
        </xdr:cNvSpPr>
      </xdr:nvSpPr>
      <xdr:spPr bwMode="auto">
        <a:xfrm rot="300000">
          <a:off x="3105150" y="220027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95250</xdr:colOff>
      <xdr:row>18</xdr:row>
      <xdr:rowOff>57150</xdr:rowOff>
    </xdr:from>
    <xdr:to>
      <xdr:col>3</xdr:col>
      <xdr:colOff>285750</xdr:colOff>
      <xdr:row>18</xdr:row>
      <xdr:rowOff>95250</xdr:rowOff>
    </xdr:to>
    <xdr:sp macro="" textlink="">
      <xdr:nvSpPr>
        <xdr:cNvPr id="224004" name="Eingekerbter Pfeil nach rechts 221"/>
        <xdr:cNvSpPr>
          <a:spLocks noChangeArrowheads="1"/>
        </xdr:cNvSpPr>
      </xdr:nvSpPr>
      <xdr:spPr bwMode="auto">
        <a:xfrm>
          <a:off x="3152775" y="24479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27</xdr:row>
      <xdr:rowOff>57150</xdr:rowOff>
    </xdr:from>
    <xdr:to>
      <xdr:col>3</xdr:col>
      <xdr:colOff>285750</xdr:colOff>
      <xdr:row>27</xdr:row>
      <xdr:rowOff>95250</xdr:rowOff>
    </xdr:to>
    <xdr:sp macro="" textlink="">
      <xdr:nvSpPr>
        <xdr:cNvPr id="224005" name="Eingekerbter Pfeil nach rechts 222"/>
        <xdr:cNvSpPr>
          <a:spLocks noChangeArrowheads="1"/>
        </xdr:cNvSpPr>
      </xdr:nvSpPr>
      <xdr:spPr bwMode="auto">
        <a:xfrm>
          <a:off x="3152775" y="36861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1</xdr:col>
      <xdr:colOff>2724150</xdr:colOff>
      <xdr:row>33</xdr:row>
      <xdr:rowOff>161925</xdr:rowOff>
    </xdr:from>
    <xdr:to>
      <xdr:col>4</xdr:col>
      <xdr:colOff>19050</xdr:colOff>
      <xdr:row>34</xdr:row>
      <xdr:rowOff>38100</xdr:rowOff>
    </xdr:to>
    <xdr:sp macro="" textlink="">
      <xdr:nvSpPr>
        <xdr:cNvPr id="224006" name="Eingekerbter Pfeil nach rechts 223"/>
        <xdr:cNvSpPr>
          <a:spLocks noChangeArrowheads="1"/>
        </xdr:cNvSpPr>
      </xdr:nvSpPr>
      <xdr:spPr bwMode="auto">
        <a:xfrm rot="-2100000">
          <a:off x="3009900" y="4657725"/>
          <a:ext cx="676275" cy="38100"/>
        </a:xfrm>
        <a:prstGeom prst="notchedRightArrow">
          <a:avLst>
            <a:gd name="adj1" fmla="val 50000"/>
            <a:gd name="adj2" fmla="val 51606"/>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104775</xdr:rowOff>
    </xdr:from>
    <xdr:to>
      <xdr:col>3</xdr:col>
      <xdr:colOff>352425</xdr:colOff>
      <xdr:row>35</xdr:row>
      <xdr:rowOff>142875</xdr:rowOff>
    </xdr:to>
    <xdr:sp macro="" textlink="">
      <xdr:nvSpPr>
        <xdr:cNvPr id="224007" name="Eingekerbter Pfeil nach rechts 224"/>
        <xdr:cNvSpPr>
          <a:spLocks noChangeArrowheads="1"/>
        </xdr:cNvSpPr>
      </xdr:nvSpPr>
      <xdr:spPr bwMode="auto">
        <a:xfrm rot="-240000">
          <a:off x="3105150" y="49244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36</xdr:row>
      <xdr:rowOff>123825</xdr:rowOff>
    </xdr:from>
    <xdr:to>
      <xdr:col>3</xdr:col>
      <xdr:colOff>361950</xdr:colOff>
      <xdr:row>36</xdr:row>
      <xdr:rowOff>161925</xdr:rowOff>
    </xdr:to>
    <xdr:sp macro="" textlink="">
      <xdr:nvSpPr>
        <xdr:cNvPr id="224008" name="Eingekerbter Pfeil nach rechts 225"/>
        <xdr:cNvSpPr>
          <a:spLocks noChangeArrowheads="1"/>
        </xdr:cNvSpPr>
      </xdr:nvSpPr>
      <xdr:spPr bwMode="auto">
        <a:xfrm rot="1080000">
          <a:off x="3105150" y="5105400"/>
          <a:ext cx="466725" cy="38100"/>
        </a:xfrm>
        <a:prstGeom prst="notchedRightArrow">
          <a:avLst>
            <a:gd name="adj1" fmla="val 50000"/>
            <a:gd name="adj2" fmla="val 42365"/>
          </a:avLst>
        </a:prstGeom>
        <a:solidFill>
          <a:srgbClr val="FF0000"/>
        </a:solidFill>
        <a:ln w="6350" algn="ctr">
          <a:solidFill>
            <a:srgbClr val="000000"/>
          </a:solidFill>
          <a:miter lim="800000"/>
          <a:headEnd/>
          <a:tailEnd/>
        </a:ln>
      </xdr:spPr>
    </xdr:sp>
    <xdr:clientData/>
  </xdr:twoCellAnchor>
  <xdr:twoCellAnchor>
    <xdr:from>
      <xdr:col>2</xdr:col>
      <xdr:colOff>57150</xdr:colOff>
      <xdr:row>36</xdr:row>
      <xdr:rowOff>38100</xdr:rowOff>
    </xdr:from>
    <xdr:to>
      <xdr:col>3</xdr:col>
      <xdr:colOff>352425</xdr:colOff>
      <xdr:row>36</xdr:row>
      <xdr:rowOff>76200</xdr:rowOff>
    </xdr:to>
    <xdr:sp macro="" textlink="">
      <xdr:nvSpPr>
        <xdr:cNvPr id="224009" name="Eingekerbter Pfeil nach rechts 226"/>
        <xdr:cNvSpPr>
          <a:spLocks noChangeArrowheads="1"/>
        </xdr:cNvSpPr>
      </xdr:nvSpPr>
      <xdr:spPr bwMode="auto">
        <a:xfrm rot="420000">
          <a:off x="3114675" y="501967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28575</xdr:colOff>
      <xdr:row>37</xdr:row>
      <xdr:rowOff>47625</xdr:rowOff>
    </xdr:from>
    <xdr:to>
      <xdr:col>3</xdr:col>
      <xdr:colOff>381000</xdr:colOff>
      <xdr:row>37</xdr:row>
      <xdr:rowOff>85725</xdr:rowOff>
    </xdr:to>
    <xdr:sp macro="" textlink="">
      <xdr:nvSpPr>
        <xdr:cNvPr id="224010" name="Eingekerbter Pfeil nach rechts 227"/>
        <xdr:cNvSpPr>
          <a:spLocks noChangeArrowheads="1"/>
        </xdr:cNvSpPr>
      </xdr:nvSpPr>
      <xdr:spPr bwMode="auto">
        <a:xfrm rot="1740000">
          <a:off x="3086100" y="5191125"/>
          <a:ext cx="504825" cy="38100"/>
        </a:xfrm>
        <a:prstGeom prst="notchedRightArrow">
          <a:avLst>
            <a:gd name="adj1" fmla="val 50000"/>
            <a:gd name="adj2" fmla="val 42572"/>
          </a:avLst>
        </a:prstGeom>
        <a:solidFill>
          <a:srgbClr val="FF0000"/>
        </a:solidFill>
        <a:ln w="6350" algn="ctr">
          <a:solidFill>
            <a:srgbClr val="000000"/>
          </a:solidFill>
          <a:miter lim="800000"/>
          <a:headEnd/>
          <a:tailEnd/>
        </a:ln>
      </xdr:spPr>
    </xdr:sp>
    <xdr:clientData/>
  </xdr:twoCellAnchor>
  <xdr:twoCellAnchor>
    <xdr:from>
      <xdr:col>1</xdr:col>
      <xdr:colOff>2714625</xdr:colOff>
      <xdr:row>37</xdr:row>
      <xdr:rowOff>142875</xdr:rowOff>
    </xdr:from>
    <xdr:to>
      <xdr:col>4</xdr:col>
      <xdr:colOff>19050</xdr:colOff>
      <xdr:row>38</xdr:row>
      <xdr:rowOff>19050</xdr:rowOff>
    </xdr:to>
    <xdr:sp macro="" textlink="">
      <xdr:nvSpPr>
        <xdr:cNvPr id="224011" name="Eingekerbter Pfeil nach rechts 228"/>
        <xdr:cNvSpPr>
          <a:spLocks noChangeArrowheads="1"/>
        </xdr:cNvSpPr>
      </xdr:nvSpPr>
      <xdr:spPr bwMode="auto">
        <a:xfrm rot="2280000">
          <a:off x="3000375" y="5286375"/>
          <a:ext cx="685800" cy="38100"/>
        </a:xfrm>
        <a:prstGeom prst="notchedRightArrow">
          <a:avLst>
            <a:gd name="adj1" fmla="val 50000"/>
            <a:gd name="adj2" fmla="val 49167"/>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19050</xdr:rowOff>
    </xdr:from>
    <xdr:to>
      <xdr:col>3</xdr:col>
      <xdr:colOff>361950</xdr:colOff>
      <xdr:row>35</xdr:row>
      <xdr:rowOff>57150</xdr:rowOff>
    </xdr:to>
    <xdr:sp macro="" textlink="">
      <xdr:nvSpPr>
        <xdr:cNvPr id="224012" name="Eingekerbter Pfeil nach rechts 229"/>
        <xdr:cNvSpPr>
          <a:spLocks noChangeArrowheads="1"/>
        </xdr:cNvSpPr>
      </xdr:nvSpPr>
      <xdr:spPr bwMode="auto">
        <a:xfrm rot="-900000">
          <a:off x="3105150" y="4838700"/>
          <a:ext cx="466725" cy="38100"/>
        </a:xfrm>
        <a:prstGeom prst="notchedRightArrow">
          <a:avLst>
            <a:gd name="adj1" fmla="val 50000"/>
            <a:gd name="adj2" fmla="val 42818"/>
          </a:avLst>
        </a:prstGeom>
        <a:solidFill>
          <a:srgbClr val="FF0000"/>
        </a:solidFill>
        <a:ln w="6350" algn="ctr">
          <a:solidFill>
            <a:srgbClr val="000000"/>
          </a:solidFill>
          <a:miter lim="800000"/>
          <a:headEnd/>
          <a:tailEnd/>
        </a:ln>
      </xdr:spPr>
    </xdr:sp>
    <xdr:clientData/>
  </xdr:twoCellAnchor>
  <xdr:twoCellAnchor>
    <xdr:from>
      <xdr:col>2</xdr:col>
      <xdr:colOff>9525</xdr:colOff>
      <xdr:row>19</xdr:row>
      <xdr:rowOff>9525</xdr:rowOff>
    </xdr:from>
    <xdr:to>
      <xdr:col>2</xdr:col>
      <xdr:colOff>85725</xdr:colOff>
      <xdr:row>21</xdr:row>
      <xdr:rowOff>152400</xdr:rowOff>
    </xdr:to>
    <xdr:sp macro="" textlink="">
      <xdr:nvSpPr>
        <xdr:cNvPr id="224013" name="Geschweifte Klammer rechts 230"/>
        <xdr:cNvSpPr>
          <a:spLocks/>
        </xdr:cNvSpPr>
      </xdr:nvSpPr>
      <xdr:spPr bwMode="auto">
        <a:xfrm>
          <a:off x="3067050" y="256222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69</xdr:row>
      <xdr:rowOff>28575</xdr:rowOff>
    </xdr:from>
    <xdr:to>
      <xdr:col>3</xdr:col>
      <xdr:colOff>352425</xdr:colOff>
      <xdr:row>69</xdr:row>
      <xdr:rowOff>66675</xdr:rowOff>
    </xdr:to>
    <xdr:sp macro="" textlink="">
      <xdr:nvSpPr>
        <xdr:cNvPr id="224014" name="Eingekerbter Pfeil nach rechts 231"/>
        <xdr:cNvSpPr>
          <a:spLocks noChangeArrowheads="1"/>
        </xdr:cNvSpPr>
      </xdr:nvSpPr>
      <xdr:spPr bwMode="auto">
        <a:xfrm rot="300000">
          <a:off x="3114675" y="944880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71</xdr:row>
      <xdr:rowOff>104775</xdr:rowOff>
    </xdr:from>
    <xdr:to>
      <xdr:col>3</xdr:col>
      <xdr:colOff>352425</xdr:colOff>
      <xdr:row>71</xdr:row>
      <xdr:rowOff>133350</xdr:rowOff>
    </xdr:to>
    <xdr:sp macro="" textlink="">
      <xdr:nvSpPr>
        <xdr:cNvPr id="224015" name="Eingekerbter Pfeil nach rechts 232"/>
        <xdr:cNvSpPr>
          <a:spLocks noChangeArrowheads="1"/>
        </xdr:cNvSpPr>
      </xdr:nvSpPr>
      <xdr:spPr bwMode="auto">
        <a:xfrm rot="-300000">
          <a:off x="3105150" y="9744075"/>
          <a:ext cx="457200" cy="28575"/>
        </a:xfrm>
        <a:prstGeom prst="notchedRightArrow">
          <a:avLst>
            <a:gd name="adj1" fmla="val 50000"/>
            <a:gd name="adj2" fmla="val 57407"/>
          </a:avLst>
        </a:prstGeom>
        <a:solidFill>
          <a:srgbClr val="FF0000"/>
        </a:solidFill>
        <a:ln w="6350" algn="ctr">
          <a:solidFill>
            <a:srgbClr val="000000"/>
          </a:solidFill>
          <a:miter lim="800000"/>
          <a:headEnd/>
          <a:tailEnd/>
        </a:ln>
      </xdr:spPr>
    </xdr:sp>
    <xdr:clientData/>
  </xdr:twoCellAnchor>
  <xdr:twoCellAnchor>
    <xdr:from>
      <xdr:col>2</xdr:col>
      <xdr:colOff>57150</xdr:colOff>
      <xdr:row>62</xdr:row>
      <xdr:rowOff>104775</xdr:rowOff>
    </xdr:from>
    <xdr:to>
      <xdr:col>3</xdr:col>
      <xdr:colOff>352425</xdr:colOff>
      <xdr:row>62</xdr:row>
      <xdr:rowOff>133350</xdr:rowOff>
    </xdr:to>
    <xdr:sp macro="" textlink="">
      <xdr:nvSpPr>
        <xdr:cNvPr id="224016" name="Eingekerbter Pfeil nach rechts 233"/>
        <xdr:cNvSpPr>
          <a:spLocks noChangeArrowheads="1"/>
        </xdr:cNvSpPr>
      </xdr:nvSpPr>
      <xdr:spPr bwMode="auto">
        <a:xfrm rot="-300000">
          <a:off x="3114675" y="8601075"/>
          <a:ext cx="447675" cy="28575"/>
        </a:xfrm>
        <a:prstGeom prst="notchedRightArrow">
          <a:avLst>
            <a:gd name="adj1" fmla="val 50000"/>
            <a:gd name="adj2" fmla="val 56574"/>
          </a:avLst>
        </a:prstGeom>
        <a:solidFill>
          <a:srgbClr val="FF0000"/>
        </a:solidFill>
        <a:ln w="6350" algn="ctr">
          <a:solidFill>
            <a:srgbClr val="000000"/>
          </a:solidFill>
          <a:miter lim="800000"/>
          <a:headEnd/>
          <a:tailEnd/>
        </a:ln>
      </xdr:spPr>
    </xdr:sp>
    <xdr:clientData/>
  </xdr:twoCellAnchor>
  <xdr:twoCellAnchor>
    <xdr:from>
      <xdr:col>2</xdr:col>
      <xdr:colOff>57150</xdr:colOff>
      <xdr:row>63</xdr:row>
      <xdr:rowOff>38100</xdr:rowOff>
    </xdr:from>
    <xdr:to>
      <xdr:col>3</xdr:col>
      <xdr:colOff>352425</xdr:colOff>
      <xdr:row>63</xdr:row>
      <xdr:rowOff>76200</xdr:rowOff>
    </xdr:to>
    <xdr:sp macro="" textlink="">
      <xdr:nvSpPr>
        <xdr:cNvPr id="224017" name="Eingekerbter Pfeil nach rechts 234"/>
        <xdr:cNvSpPr>
          <a:spLocks noChangeArrowheads="1"/>
        </xdr:cNvSpPr>
      </xdr:nvSpPr>
      <xdr:spPr bwMode="auto">
        <a:xfrm rot="300000">
          <a:off x="3114675" y="8696325"/>
          <a:ext cx="447675" cy="38100"/>
        </a:xfrm>
        <a:prstGeom prst="notchedRightArrow">
          <a:avLst>
            <a:gd name="adj1" fmla="val 50000"/>
            <a:gd name="adj2" fmla="val 42431"/>
          </a:avLst>
        </a:prstGeom>
        <a:solidFill>
          <a:srgbClr val="FF0000"/>
        </a:solidFill>
        <a:ln w="6350" algn="ctr">
          <a:solidFill>
            <a:srgbClr val="000000"/>
          </a:solidFill>
          <a:miter lim="800000"/>
          <a:headEnd/>
          <a:tailEnd/>
        </a:ln>
      </xdr:spPr>
    </xdr:sp>
    <xdr:clientData/>
  </xdr:twoCellAnchor>
  <xdr:twoCellAnchor>
    <xdr:from>
      <xdr:col>2</xdr:col>
      <xdr:colOff>38100</xdr:colOff>
      <xdr:row>62</xdr:row>
      <xdr:rowOff>19050</xdr:rowOff>
    </xdr:from>
    <xdr:to>
      <xdr:col>3</xdr:col>
      <xdr:colOff>361950</xdr:colOff>
      <xdr:row>62</xdr:row>
      <xdr:rowOff>57150</xdr:rowOff>
    </xdr:to>
    <xdr:sp macro="" textlink="">
      <xdr:nvSpPr>
        <xdr:cNvPr id="224018" name="Eingekerbter Pfeil nach rechts 235"/>
        <xdr:cNvSpPr>
          <a:spLocks noChangeArrowheads="1"/>
        </xdr:cNvSpPr>
      </xdr:nvSpPr>
      <xdr:spPr bwMode="auto">
        <a:xfrm rot="-900000">
          <a:off x="3095625" y="8515350"/>
          <a:ext cx="476250" cy="38100"/>
        </a:xfrm>
        <a:prstGeom prst="notchedRightArrow">
          <a:avLst>
            <a:gd name="adj1" fmla="val 50000"/>
            <a:gd name="adj2" fmla="val 43345"/>
          </a:avLst>
        </a:prstGeom>
        <a:solidFill>
          <a:srgbClr val="FF0000"/>
        </a:solidFill>
        <a:ln w="6350" algn="ctr">
          <a:solidFill>
            <a:srgbClr val="000000"/>
          </a:solidFill>
          <a:miter lim="800000"/>
          <a:headEnd/>
          <a:tailEnd/>
        </a:ln>
      </xdr:spPr>
    </xdr:sp>
    <xdr:clientData/>
  </xdr:twoCellAnchor>
  <xdr:twoCellAnchor>
    <xdr:from>
      <xdr:col>2</xdr:col>
      <xdr:colOff>38100</xdr:colOff>
      <xdr:row>63</xdr:row>
      <xdr:rowOff>133350</xdr:rowOff>
    </xdr:from>
    <xdr:to>
      <xdr:col>3</xdr:col>
      <xdr:colOff>361950</xdr:colOff>
      <xdr:row>64</xdr:row>
      <xdr:rowOff>0</xdr:rowOff>
    </xdr:to>
    <xdr:sp macro="" textlink="">
      <xdr:nvSpPr>
        <xdr:cNvPr id="224019" name="Eingekerbter Pfeil nach rechts 236"/>
        <xdr:cNvSpPr>
          <a:spLocks noChangeArrowheads="1"/>
        </xdr:cNvSpPr>
      </xdr:nvSpPr>
      <xdr:spPr bwMode="auto">
        <a:xfrm rot="960000">
          <a:off x="3095625" y="8791575"/>
          <a:ext cx="476250" cy="28575"/>
        </a:xfrm>
        <a:prstGeom prst="notchedRightArrow">
          <a:avLst>
            <a:gd name="adj1" fmla="val 50000"/>
            <a:gd name="adj2" fmla="val 54244"/>
          </a:avLst>
        </a:prstGeom>
        <a:solidFill>
          <a:srgbClr val="FF0000"/>
        </a:solidFill>
        <a:ln w="6350" algn="ctr">
          <a:solidFill>
            <a:srgbClr val="000000"/>
          </a:solidFill>
          <a:miter lim="800000"/>
          <a:headEnd/>
          <a:tailEnd/>
        </a:ln>
      </xdr:spPr>
    </xdr:sp>
    <xdr:clientData/>
  </xdr:twoCellAnchor>
  <xdr:twoCellAnchor>
    <xdr:from>
      <xdr:col>2</xdr:col>
      <xdr:colOff>47625</xdr:colOff>
      <xdr:row>56</xdr:row>
      <xdr:rowOff>95250</xdr:rowOff>
    </xdr:from>
    <xdr:to>
      <xdr:col>3</xdr:col>
      <xdr:colOff>352425</xdr:colOff>
      <xdr:row>56</xdr:row>
      <xdr:rowOff>133350</xdr:rowOff>
    </xdr:to>
    <xdr:sp macro="" textlink="">
      <xdr:nvSpPr>
        <xdr:cNvPr id="224020" name="Eingekerbter Pfeil nach rechts 237"/>
        <xdr:cNvSpPr>
          <a:spLocks noChangeArrowheads="1"/>
        </xdr:cNvSpPr>
      </xdr:nvSpPr>
      <xdr:spPr bwMode="auto">
        <a:xfrm rot="-300000">
          <a:off x="3105150" y="7829550"/>
          <a:ext cx="457200" cy="38100"/>
        </a:xfrm>
        <a:prstGeom prst="notchedRightArrow">
          <a:avLst>
            <a:gd name="adj1" fmla="val 50000"/>
            <a:gd name="adj2" fmla="val 40944"/>
          </a:avLst>
        </a:prstGeom>
        <a:solidFill>
          <a:srgbClr val="FF0000"/>
        </a:solidFill>
        <a:ln w="6350" algn="ctr">
          <a:solidFill>
            <a:srgbClr val="000000"/>
          </a:solidFill>
          <a:miter lim="800000"/>
          <a:headEnd/>
          <a:tailEnd/>
        </a:ln>
      </xdr:spPr>
    </xdr:sp>
    <xdr:clientData/>
  </xdr:twoCellAnchor>
  <xdr:twoCellAnchor>
    <xdr:from>
      <xdr:col>2</xdr:col>
      <xdr:colOff>123825</xdr:colOff>
      <xdr:row>43</xdr:row>
      <xdr:rowOff>66675</xdr:rowOff>
    </xdr:from>
    <xdr:to>
      <xdr:col>3</xdr:col>
      <xdr:colOff>342900</xdr:colOff>
      <xdr:row>43</xdr:row>
      <xdr:rowOff>104775</xdr:rowOff>
    </xdr:to>
    <xdr:sp macro="" textlink="">
      <xdr:nvSpPr>
        <xdr:cNvPr id="224021" name="Eingekerbter Pfeil nach rechts 238"/>
        <xdr:cNvSpPr>
          <a:spLocks noChangeArrowheads="1"/>
        </xdr:cNvSpPr>
      </xdr:nvSpPr>
      <xdr:spPr bwMode="auto">
        <a:xfrm>
          <a:off x="3181350" y="6076950"/>
          <a:ext cx="371475" cy="38100"/>
        </a:xfrm>
        <a:prstGeom prst="notchedRightArrow">
          <a:avLst>
            <a:gd name="adj1" fmla="val 50000"/>
            <a:gd name="adj2" fmla="val 41122"/>
          </a:avLst>
        </a:prstGeom>
        <a:solidFill>
          <a:srgbClr val="FF0000"/>
        </a:solidFill>
        <a:ln w="6350" algn="ctr">
          <a:solidFill>
            <a:srgbClr val="000000"/>
          </a:solidFill>
          <a:miter lim="800000"/>
          <a:headEnd/>
          <a:tailEnd/>
        </a:ln>
      </xdr:spPr>
    </xdr:sp>
    <xdr:clientData/>
  </xdr:twoCellAnchor>
  <xdr:twoCellAnchor>
    <xdr:from>
      <xdr:col>2</xdr:col>
      <xdr:colOff>104775</xdr:colOff>
      <xdr:row>42</xdr:row>
      <xdr:rowOff>152400</xdr:rowOff>
    </xdr:from>
    <xdr:to>
      <xdr:col>3</xdr:col>
      <xdr:colOff>361950</xdr:colOff>
      <xdr:row>43</xdr:row>
      <xdr:rowOff>28575</xdr:rowOff>
    </xdr:to>
    <xdr:sp macro="" textlink="">
      <xdr:nvSpPr>
        <xdr:cNvPr id="224022" name="Eingekerbter Pfeil nach rechts 239"/>
        <xdr:cNvSpPr>
          <a:spLocks noChangeArrowheads="1"/>
        </xdr:cNvSpPr>
      </xdr:nvSpPr>
      <xdr:spPr bwMode="auto">
        <a:xfrm rot="-780000">
          <a:off x="3162300" y="6000750"/>
          <a:ext cx="409575" cy="38100"/>
        </a:xfrm>
        <a:prstGeom prst="notchedRightArrow">
          <a:avLst>
            <a:gd name="adj1" fmla="val 50000"/>
            <a:gd name="adj2" fmla="val 41955"/>
          </a:avLst>
        </a:prstGeom>
        <a:solidFill>
          <a:srgbClr val="FF0000"/>
        </a:solidFill>
        <a:ln w="6350" algn="ctr">
          <a:solidFill>
            <a:srgbClr val="000000"/>
          </a:solidFill>
          <a:miter lim="800000"/>
          <a:headEnd/>
          <a:tailEnd/>
        </a:ln>
      </xdr:spPr>
    </xdr:sp>
    <xdr:clientData/>
  </xdr:twoCellAnchor>
  <xdr:twoCellAnchor>
    <xdr:from>
      <xdr:col>2</xdr:col>
      <xdr:colOff>114300</xdr:colOff>
      <xdr:row>43</xdr:row>
      <xdr:rowOff>152400</xdr:rowOff>
    </xdr:from>
    <xdr:to>
      <xdr:col>3</xdr:col>
      <xdr:colOff>361950</xdr:colOff>
      <xdr:row>44</xdr:row>
      <xdr:rowOff>28575</xdr:rowOff>
    </xdr:to>
    <xdr:sp macro="" textlink="">
      <xdr:nvSpPr>
        <xdr:cNvPr id="224023" name="Eingekerbter Pfeil nach rechts 240"/>
        <xdr:cNvSpPr>
          <a:spLocks noChangeArrowheads="1"/>
        </xdr:cNvSpPr>
      </xdr:nvSpPr>
      <xdr:spPr bwMode="auto">
        <a:xfrm rot="840000">
          <a:off x="3171825" y="6162675"/>
          <a:ext cx="400050" cy="38100"/>
        </a:xfrm>
        <a:prstGeom prst="notchedRightArrow">
          <a:avLst>
            <a:gd name="adj1" fmla="val 50000"/>
            <a:gd name="adj2" fmla="val 42000"/>
          </a:avLst>
        </a:prstGeom>
        <a:solidFill>
          <a:srgbClr val="FF0000"/>
        </a:solidFill>
        <a:ln w="6350" algn="ctr">
          <a:solidFill>
            <a:srgbClr val="000000"/>
          </a:solidFill>
          <a:miter lim="800000"/>
          <a:headEnd/>
          <a:tailEnd/>
        </a:ln>
      </xdr:spPr>
    </xdr:sp>
    <xdr:clientData/>
  </xdr:twoCellAnchor>
  <xdr:twoCellAnchor>
    <xdr:from>
      <xdr:col>2</xdr:col>
      <xdr:colOff>85725</xdr:colOff>
      <xdr:row>44</xdr:row>
      <xdr:rowOff>66675</xdr:rowOff>
    </xdr:from>
    <xdr:to>
      <xdr:col>3</xdr:col>
      <xdr:colOff>371475</xdr:colOff>
      <xdr:row>44</xdr:row>
      <xdr:rowOff>104775</xdr:rowOff>
    </xdr:to>
    <xdr:sp macro="" textlink="">
      <xdr:nvSpPr>
        <xdr:cNvPr id="224024" name="Eingekerbter Pfeil nach rechts 241"/>
        <xdr:cNvSpPr>
          <a:spLocks noChangeArrowheads="1"/>
        </xdr:cNvSpPr>
      </xdr:nvSpPr>
      <xdr:spPr bwMode="auto">
        <a:xfrm rot="1560000">
          <a:off x="3143250" y="6238875"/>
          <a:ext cx="438150" cy="38100"/>
        </a:xfrm>
        <a:prstGeom prst="notchedRightArrow">
          <a:avLst>
            <a:gd name="adj1" fmla="val 50000"/>
            <a:gd name="adj2" fmla="val 42113"/>
          </a:avLst>
        </a:prstGeom>
        <a:solidFill>
          <a:srgbClr val="FF0000"/>
        </a:solidFill>
        <a:ln w="6350" algn="ctr">
          <a:solidFill>
            <a:srgbClr val="000000"/>
          </a:solidFill>
          <a:miter lim="800000"/>
          <a:headEnd/>
          <a:tailEnd/>
        </a:ln>
      </xdr:spPr>
    </xdr:sp>
    <xdr:clientData/>
  </xdr:twoCellAnchor>
  <xdr:twoCellAnchor>
    <xdr:from>
      <xdr:col>2</xdr:col>
      <xdr:colOff>76200</xdr:colOff>
      <xdr:row>42</xdr:row>
      <xdr:rowOff>76200</xdr:rowOff>
    </xdr:from>
    <xdr:to>
      <xdr:col>3</xdr:col>
      <xdr:colOff>371475</xdr:colOff>
      <xdr:row>42</xdr:row>
      <xdr:rowOff>114300</xdr:rowOff>
    </xdr:to>
    <xdr:sp macro="" textlink="">
      <xdr:nvSpPr>
        <xdr:cNvPr id="224025" name="Eingekerbter Pfeil nach rechts 242"/>
        <xdr:cNvSpPr>
          <a:spLocks noChangeArrowheads="1"/>
        </xdr:cNvSpPr>
      </xdr:nvSpPr>
      <xdr:spPr bwMode="auto">
        <a:xfrm rot="-1560000">
          <a:off x="3133725" y="5924550"/>
          <a:ext cx="447675" cy="38100"/>
        </a:xfrm>
        <a:prstGeom prst="notchedRightArrow">
          <a:avLst>
            <a:gd name="adj1" fmla="val 50000"/>
            <a:gd name="adj2" fmla="val 42703"/>
          </a:avLst>
        </a:prstGeom>
        <a:solidFill>
          <a:srgbClr val="FF0000"/>
        </a:solidFill>
        <a:ln w="6350" algn="ctr">
          <a:solidFill>
            <a:srgbClr val="000000"/>
          </a:solidFill>
          <a:miter lim="800000"/>
          <a:headEnd/>
          <a:tailEnd/>
        </a:ln>
      </xdr:spPr>
    </xdr:sp>
    <xdr:clientData/>
  </xdr:twoCellAnchor>
  <xdr:twoCellAnchor>
    <xdr:from>
      <xdr:col>3</xdr:col>
      <xdr:colOff>295275</xdr:colOff>
      <xdr:row>31</xdr:row>
      <xdr:rowOff>47625</xdr:rowOff>
    </xdr:from>
    <xdr:to>
      <xdr:col>4</xdr:col>
      <xdr:colOff>2943225</xdr:colOff>
      <xdr:row>31</xdr:row>
      <xdr:rowOff>47625</xdr:rowOff>
    </xdr:to>
    <xdr:cxnSp macro="">
      <xdr:nvCxnSpPr>
        <xdr:cNvPr id="224026" name="Gerade Verbindung mit Pfeil 243"/>
        <xdr:cNvCxnSpPr>
          <a:cxnSpLocks noChangeShapeType="1"/>
        </xdr:cNvCxnSpPr>
      </xdr:nvCxnSpPr>
      <xdr:spPr bwMode="auto">
        <a:xfrm flipV="1">
          <a:off x="3505200" y="4257675"/>
          <a:ext cx="310515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4</xdr:col>
      <xdr:colOff>2676525</xdr:colOff>
      <xdr:row>36</xdr:row>
      <xdr:rowOff>9525</xdr:rowOff>
    </xdr:from>
    <xdr:to>
      <xdr:col>4</xdr:col>
      <xdr:colOff>2762250</xdr:colOff>
      <xdr:row>39</xdr:row>
      <xdr:rowOff>152400</xdr:rowOff>
    </xdr:to>
    <xdr:sp macro="" textlink="">
      <xdr:nvSpPr>
        <xdr:cNvPr id="224027" name="Geschweifte Klammer rechts 244"/>
        <xdr:cNvSpPr>
          <a:spLocks/>
        </xdr:cNvSpPr>
      </xdr:nvSpPr>
      <xdr:spPr bwMode="auto">
        <a:xfrm>
          <a:off x="6343650" y="4991100"/>
          <a:ext cx="85725" cy="628650"/>
        </a:xfrm>
        <a:prstGeom prst="rightBrace">
          <a:avLst>
            <a:gd name="adj1" fmla="val 7944"/>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31</xdr:row>
      <xdr:rowOff>38100</xdr:rowOff>
    </xdr:from>
    <xdr:to>
      <xdr:col>4</xdr:col>
      <xdr:colOff>2933700</xdr:colOff>
      <xdr:row>37</xdr:row>
      <xdr:rowOff>142875</xdr:rowOff>
    </xdr:to>
    <xdr:cxnSp macro="">
      <xdr:nvCxnSpPr>
        <xdr:cNvPr id="224028" name="Gerade Verbindung 245"/>
        <xdr:cNvCxnSpPr>
          <a:cxnSpLocks noChangeShapeType="1"/>
        </xdr:cNvCxnSpPr>
      </xdr:nvCxnSpPr>
      <xdr:spPr bwMode="auto">
        <a:xfrm>
          <a:off x="6600825" y="4248150"/>
          <a:ext cx="0" cy="1038225"/>
        </a:xfrm>
        <a:prstGeom prst="line">
          <a:avLst/>
        </a:prstGeom>
        <a:noFill/>
        <a:ln w="19050" algn="ctr">
          <a:solidFill>
            <a:srgbClr val="FF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42</xdr:row>
      <xdr:rowOff>9525</xdr:rowOff>
    </xdr:from>
    <xdr:to>
      <xdr:col>2</xdr:col>
      <xdr:colOff>85725</xdr:colOff>
      <xdr:row>44</xdr:row>
      <xdr:rowOff>152400</xdr:rowOff>
    </xdr:to>
    <xdr:sp macro="" textlink="">
      <xdr:nvSpPr>
        <xdr:cNvPr id="224029" name="Geschweifte Klammer rechts 246"/>
        <xdr:cNvSpPr>
          <a:spLocks/>
        </xdr:cNvSpPr>
      </xdr:nvSpPr>
      <xdr:spPr bwMode="auto">
        <a:xfrm>
          <a:off x="3067050" y="585787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47</xdr:row>
      <xdr:rowOff>95250</xdr:rowOff>
    </xdr:from>
    <xdr:to>
      <xdr:col>3</xdr:col>
      <xdr:colOff>352425</xdr:colOff>
      <xdr:row>47</xdr:row>
      <xdr:rowOff>133350</xdr:rowOff>
    </xdr:to>
    <xdr:sp macro="" textlink="">
      <xdr:nvSpPr>
        <xdr:cNvPr id="224030" name="Eingekerbter Pfeil nach rechts 247"/>
        <xdr:cNvSpPr>
          <a:spLocks noChangeArrowheads="1"/>
        </xdr:cNvSpPr>
      </xdr:nvSpPr>
      <xdr:spPr bwMode="auto">
        <a:xfrm rot="-300000">
          <a:off x="3105150" y="6686550"/>
          <a:ext cx="457200" cy="38100"/>
        </a:xfrm>
        <a:prstGeom prst="notchedRightArrow">
          <a:avLst>
            <a:gd name="adj1" fmla="val 50000"/>
            <a:gd name="adj2" fmla="val 42833"/>
          </a:avLst>
        </a:prstGeom>
        <a:solidFill>
          <a:srgbClr val="FF0000"/>
        </a:solidFill>
        <a:ln w="6350" algn="ctr">
          <a:solidFill>
            <a:srgbClr val="000000"/>
          </a:solidFill>
          <a:miter lim="800000"/>
          <a:headEnd/>
          <a:tailEnd/>
        </a:ln>
      </xdr:spPr>
    </xdr:sp>
    <xdr:clientData/>
  </xdr:twoCellAnchor>
  <xdr:twoCellAnchor>
    <xdr:from>
      <xdr:col>2</xdr:col>
      <xdr:colOff>47625</xdr:colOff>
      <xdr:row>48</xdr:row>
      <xdr:rowOff>38100</xdr:rowOff>
    </xdr:from>
    <xdr:to>
      <xdr:col>3</xdr:col>
      <xdr:colOff>352425</xdr:colOff>
      <xdr:row>48</xdr:row>
      <xdr:rowOff>76200</xdr:rowOff>
    </xdr:to>
    <xdr:sp macro="" textlink="">
      <xdr:nvSpPr>
        <xdr:cNvPr id="224031" name="Eingekerbter Pfeil nach rechts 248"/>
        <xdr:cNvSpPr>
          <a:spLocks noChangeArrowheads="1"/>
        </xdr:cNvSpPr>
      </xdr:nvSpPr>
      <xdr:spPr bwMode="auto">
        <a:xfrm rot="300000">
          <a:off x="3105150" y="67913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51</xdr:row>
      <xdr:rowOff>28575</xdr:rowOff>
    </xdr:from>
    <xdr:to>
      <xdr:col>3</xdr:col>
      <xdr:colOff>352425</xdr:colOff>
      <xdr:row>51</xdr:row>
      <xdr:rowOff>66675</xdr:rowOff>
    </xdr:to>
    <xdr:sp macro="" textlink="">
      <xdr:nvSpPr>
        <xdr:cNvPr id="224032" name="Eingekerbter Pfeil nach rechts 249"/>
        <xdr:cNvSpPr>
          <a:spLocks noChangeArrowheads="1"/>
        </xdr:cNvSpPr>
      </xdr:nvSpPr>
      <xdr:spPr bwMode="auto">
        <a:xfrm rot="300000">
          <a:off x="3105150" y="7162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54</xdr:row>
      <xdr:rowOff>28575</xdr:rowOff>
    </xdr:from>
    <xdr:to>
      <xdr:col>3</xdr:col>
      <xdr:colOff>352425</xdr:colOff>
      <xdr:row>54</xdr:row>
      <xdr:rowOff>66675</xdr:rowOff>
    </xdr:to>
    <xdr:sp macro="" textlink="">
      <xdr:nvSpPr>
        <xdr:cNvPr id="224033" name="Eingekerbter Pfeil nach rechts 250"/>
        <xdr:cNvSpPr>
          <a:spLocks noChangeArrowheads="1"/>
        </xdr:cNvSpPr>
      </xdr:nvSpPr>
      <xdr:spPr bwMode="auto">
        <a:xfrm rot="300000">
          <a:off x="3105150" y="7543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50</xdr:row>
      <xdr:rowOff>95250</xdr:rowOff>
    </xdr:from>
    <xdr:to>
      <xdr:col>3</xdr:col>
      <xdr:colOff>352425</xdr:colOff>
      <xdr:row>50</xdr:row>
      <xdr:rowOff>133350</xdr:rowOff>
    </xdr:to>
    <xdr:sp macro="" textlink="">
      <xdr:nvSpPr>
        <xdr:cNvPr id="224034" name="Eingekerbter Pfeil nach rechts 251"/>
        <xdr:cNvSpPr>
          <a:spLocks noChangeArrowheads="1"/>
        </xdr:cNvSpPr>
      </xdr:nvSpPr>
      <xdr:spPr bwMode="auto">
        <a:xfrm rot="-300000">
          <a:off x="3105150" y="706755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53</xdr:row>
      <xdr:rowOff>104775</xdr:rowOff>
    </xdr:from>
    <xdr:to>
      <xdr:col>3</xdr:col>
      <xdr:colOff>352425</xdr:colOff>
      <xdr:row>53</xdr:row>
      <xdr:rowOff>133350</xdr:rowOff>
    </xdr:to>
    <xdr:sp macro="" textlink="">
      <xdr:nvSpPr>
        <xdr:cNvPr id="224035" name="Eingekerbter Pfeil nach rechts 252"/>
        <xdr:cNvSpPr>
          <a:spLocks noChangeArrowheads="1"/>
        </xdr:cNvSpPr>
      </xdr:nvSpPr>
      <xdr:spPr bwMode="auto">
        <a:xfrm rot="-300000">
          <a:off x="3105150" y="7458075"/>
          <a:ext cx="457200" cy="28575"/>
        </a:xfrm>
        <a:prstGeom prst="notchedRightArrow">
          <a:avLst>
            <a:gd name="adj1" fmla="val 50000"/>
            <a:gd name="adj2" fmla="val 57333"/>
          </a:avLst>
        </a:prstGeom>
        <a:solidFill>
          <a:srgbClr val="FF0000"/>
        </a:solidFill>
        <a:ln w="6350" algn="ctr">
          <a:solidFill>
            <a:srgbClr val="000000"/>
          </a:solidFill>
          <a:miter lim="800000"/>
          <a:headEnd/>
          <a:tailEnd/>
        </a:ln>
      </xdr:spPr>
    </xdr:sp>
    <xdr:clientData/>
  </xdr:twoCellAnchor>
  <xdr:twoCellAnchor>
    <xdr:from>
      <xdr:col>3</xdr:col>
      <xdr:colOff>276225</xdr:colOff>
      <xdr:row>30</xdr:row>
      <xdr:rowOff>19050</xdr:rowOff>
    </xdr:from>
    <xdr:to>
      <xdr:col>4</xdr:col>
      <xdr:colOff>9525</xdr:colOff>
      <xdr:row>30</xdr:row>
      <xdr:rowOff>47625</xdr:rowOff>
    </xdr:to>
    <xdr:sp macro="" textlink="">
      <xdr:nvSpPr>
        <xdr:cNvPr id="224036" name="Eingekerbter Pfeil nach rechts 253"/>
        <xdr:cNvSpPr>
          <a:spLocks noChangeArrowheads="1"/>
        </xdr:cNvSpPr>
      </xdr:nvSpPr>
      <xdr:spPr bwMode="auto">
        <a:xfrm rot="1680000">
          <a:off x="3486150" y="40671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3</xdr:col>
      <xdr:colOff>276225</xdr:colOff>
      <xdr:row>29</xdr:row>
      <xdr:rowOff>104775</xdr:rowOff>
    </xdr:from>
    <xdr:to>
      <xdr:col>4</xdr:col>
      <xdr:colOff>9525</xdr:colOff>
      <xdr:row>29</xdr:row>
      <xdr:rowOff>133350</xdr:rowOff>
    </xdr:to>
    <xdr:sp macro="" textlink="">
      <xdr:nvSpPr>
        <xdr:cNvPr id="224037" name="Eingekerbter Pfeil nach rechts 254"/>
        <xdr:cNvSpPr>
          <a:spLocks noChangeArrowheads="1"/>
        </xdr:cNvSpPr>
      </xdr:nvSpPr>
      <xdr:spPr bwMode="auto">
        <a:xfrm rot="-1680000">
          <a:off x="3486150" y="39909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4</xdr:col>
      <xdr:colOff>2781300</xdr:colOff>
      <xdr:row>37</xdr:row>
      <xdr:rowOff>161925</xdr:rowOff>
    </xdr:from>
    <xdr:to>
      <xdr:col>4</xdr:col>
      <xdr:colOff>2943225</xdr:colOff>
      <xdr:row>37</xdr:row>
      <xdr:rowOff>161925</xdr:rowOff>
    </xdr:to>
    <xdr:cxnSp macro="">
      <xdr:nvCxnSpPr>
        <xdr:cNvPr id="224038" name="Gerade Verbindung mit Pfeil 255"/>
        <xdr:cNvCxnSpPr>
          <a:cxnSpLocks noChangeShapeType="1"/>
        </xdr:cNvCxnSpPr>
      </xdr:nvCxnSpPr>
      <xdr:spPr bwMode="auto">
        <a:xfrm flipV="1">
          <a:off x="6448425" y="5305425"/>
          <a:ext cx="161925"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76</xdr:row>
      <xdr:rowOff>57150</xdr:rowOff>
    </xdr:from>
    <xdr:to>
      <xdr:col>3</xdr:col>
      <xdr:colOff>295275</xdr:colOff>
      <xdr:row>76</xdr:row>
      <xdr:rowOff>95250</xdr:rowOff>
    </xdr:to>
    <xdr:sp macro="" textlink="">
      <xdr:nvSpPr>
        <xdr:cNvPr id="224039" name="Eingekerbter Pfeil nach rechts 256"/>
        <xdr:cNvSpPr>
          <a:spLocks noChangeArrowheads="1"/>
        </xdr:cNvSpPr>
      </xdr:nvSpPr>
      <xdr:spPr bwMode="auto">
        <a:xfrm>
          <a:off x="3152775" y="1029652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20</xdr:row>
      <xdr:rowOff>0</xdr:rowOff>
    </xdr:from>
    <xdr:to>
      <xdr:col>7</xdr:col>
      <xdr:colOff>647700</xdr:colOff>
      <xdr:row>31</xdr:row>
      <xdr:rowOff>47625</xdr:rowOff>
    </xdr:to>
    <xdr:pic>
      <xdr:nvPicPr>
        <xdr:cNvPr id="183598"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686300"/>
          <a:ext cx="51816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5</xdr:row>
      <xdr:rowOff>19050</xdr:rowOff>
    </xdr:from>
    <xdr:to>
      <xdr:col>2</xdr:col>
      <xdr:colOff>485776</xdr:colOff>
      <xdr:row>8</xdr:row>
      <xdr:rowOff>152400</xdr:rowOff>
    </xdr:to>
    <xdr:sp macro="" textlink="">
      <xdr:nvSpPr>
        <xdr:cNvPr id="2" name="Rechteck 1"/>
        <xdr:cNvSpPr/>
      </xdr:nvSpPr>
      <xdr:spPr bwMode="auto">
        <a:xfrm>
          <a:off x="495300" y="828675"/>
          <a:ext cx="1514476"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de-DE" sz="1100">
              <a:latin typeface="Arial" panose="020B0604020202020204" pitchFamily="34" charset="0"/>
              <a:cs typeface="Arial" panose="020B0604020202020204" pitchFamily="34" charset="0"/>
            </a:rPr>
            <a:t>Stall</a:t>
          </a:r>
        </a:p>
      </xdr:txBody>
    </xdr:sp>
    <xdr:clientData/>
  </xdr:twoCellAnchor>
  <xdr:twoCellAnchor>
    <xdr:from>
      <xdr:col>2</xdr:col>
      <xdr:colOff>133349</xdr:colOff>
      <xdr:row>16</xdr:row>
      <xdr:rowOff>95250</xdr:rowOff>
    </xdr:from>
    <xdr:to>
      <xdr:col>4</xdr:col>
      <xdr:colOff>238124</xdr:colOff>
      <xdr:row>20</xdr:row>
      <xdr:rowOff>66675</xdr:rowOff>
    </xdr:to>
    <xdr:sp macro="" textlink="">
      <xdr:nvSpPr>
        <xdr:cNvPr id="3" name="Rechteck 2"/>
        <xdr:cNvSpPr/>
      </xdr:nvSpPr>
      <xdr:spPr bwMode="auto">
        <a:xfrm>
          <a:off x="1657349" y="2686050"/>
          <a:ext cx="1628775"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400" b="1">
              <a:latin typeface="Arial" panose="020B0604020202020204" pitchFamily="34" charset="0"/>
              <a:cs typeface="Arial" panose="020B0604020202020204" pitchFamily="34" charset="0"/>
            </a:rPr>
            <a:t>Biogas</a:t>
          </a:r>
        </a:p>
        <a:p>
          <a:pPr algn="ctr"/>
          <a:r>
            <a:rPr lang="de-DE" sz="1400" b="1">
              <a:latin typeface="Arial" panose="020B0604020202020204" pitchFamily="34" charset="0"/>
              <a:cs typeface="Arial" panose="020B0604020202020204" pitchFamily="34" charset="0"/>
            </a:rPr>
            <a:t>(WDüngV)</a:t>
          </a:r>
        </a:p>
      </xdr:txBody>
    </xdr:sp>
    <xdr:clientData/>
  </xdr:twoCellAnchor>
  <xdr:twoCellAnchor>
    <xdr:from>
      <xdr:col>2</xdr:col>
      <xdr:colOff>476250</xdr:colOff>
      <xdr:row>5</xdr:row>
      <xdr:rowOff>19050</xdr:rowOff>
    </xdr:from>
    <xdr:to>
      <xdr:col>3</xdr:col>
      <xdr:colOff>590551</xdr:colOff>
      <xdr:row>8</xdr:row>
      <xdr:rowOff>152400</xdr:rowOff>
    </xdr:to>
    <xdr:sp macro="" textlink="">
      <xdr:nvSpPr>
        <xdr:cNvPr id="4" name="Rechteck 3"/>
        <xdr:cNvSpPr/>
      </xdr:nvSpPr>
      <xdr:spPr bwMode="auto">
        <a:xfrm>
          <a:off x="2000250" y="828675"/>
          <a:ext cx="876301"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de-DE" sz="1100">
              <a:latin typeface="Arial" panose="020B0604020202020204" pitchFamily="34" charset="0"/>
              <a:cs typeface="Arial" panose="020B0604020202020204" pitchFamily="34" charset="0"/>
            </a:rPr>
            <a:t>Pflanzen</a:t>
          </a:r>
        </a:p>
      </xdr:txBody>
    </xdr:sp>
    <xdr:clientData/>
  </xdr:twoCellAnchor>
  <xdr:twoCellAnchor>
    <xdr:from>
      <xdr:col>0</xdr:col>
      <xdr:colOff>495300</xdr:colOff>
      <xdr:row>3</xdr:row>
      <xdr:rowOff>152401</xdr:rowOff>
    </xdr:from>
    <xdr:to>
      <xdr:col>3</xdr:col>
      <xdr:colOff>600075</xdr:colOff>
      <xdr:row>5</xdr:row>
      <xdr:rowOff>19051</xdr:rowOff>
    </xdr:to>
    <xdr:sp macro="" textlink="">
      <xdr:nvSpPr>
        <xdr:cNvPr id="5" name="Rechteck 4"/>
        <xdr:cNvSpPr/>
      </xdr:nvSpPr>
      <xdr:spPr bwMode="auto">
        <a:xfrm>
          <a:off x="495300" y="638176"/>
          <a:ext cx="2390775" cy="190500"/>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de-DE" sz="1100">
              <a:latin typeface="Arial" panose="020B0604020202020204" pitchFamily="34" charset="0"/>
              <a:cs typeface="Arial" panose="020B0604020202020204" pitchFamily="34" charset="0"/>
            </a:rPr>
            <a:t>eigene Erzeugung</a:t>
          </a:r>
        </a:p>
      </xdr:txBody>
    </xdr:sp>
    <xdr:clientData/>
  </xdr:twoCellAnchor>
  <xdr:twoCellAnchor>
    <xdr:from>
      <xdr:col>3</xdr:col>
      <xdr:colOff>752476</xdr:colOff>
      <xdr:row>3</xdr:row>
      <xdr:rowOff>161924</xdr:rowOff>
    </xdr:from>
    <xdr:to>
      <xdr:col>6</xdr:col>
      <xdr:colOff>638176</xdr:colOff>
      <xdr:row>5</xdr:row>
      <xdr:rowOff>19049</xdr:rowOff>
    </xdr:to>
    <xdr:sp macro="" textlink="">
      <xdr:nvSpPr>
        <xdr:cNvPr id="7" name="Rechteck 6"/>
        <xdr:cNvSpPr/>
      </xdr:nvSpPr>
      <xdr:spPr bwMode="auto">
        <a:xfrm>
          <a:off x="3038476" y="647699"/>
          <a:ext cx="2171700" cy="18097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de-DE" sz="1100">
              <a:latin typeface="Arial" panose="020B0604020202020204" pitchFamily="34" charset="0"/>
              <a:cs typeface="Arial" panose="020B0604020202020204" pitchFamily="34" charset="0"/>
            </a:rPr>
            <a:t>Zukauf</a:t>
          </a:r>
        </a:p>
      </xdr:txBody>
    </xdr:sp>
    <xdr:clientData/>
  </xdr:twoCellAnchor>
  <xdr:twoCellAnchor>
    <xdr:from>
      <xdr:col>5</xdr:col>
      <xdr:colOff>266700</xdr:colOff>
      <xdr:row>5</xdr:row>
      <xdr:rowOff>19050</xdr:rowOff>
    </xdr:from>
    <xdr:to>
      <xdr:col>6</xdr:col>
      <xdr:colOff>619126</xdr:colOff>
      <xdr:row>8</xdr:row>
      <xdr:rowOff>152400</xdr:rowOff>
    </xdr:to>
    <xdr:sp macro="" textlink="">
      <xdr:nvSpPr>
        <xdr:cNvPr id="8" name="Rechteck 7"/>
        <xdr:cNvSpPr/>
      </xdr:nvSpPr>
      <xdr:spPr bwMode="auto">
        <a:xfrm>
          <a:off x="4076700" y="828675"/>
          <a:ext cx="1114426"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Pflanzen</a:t>
          </a:r>
        </a:p>
      </xdr:txBody>
    </xdr:sp>
    <xdr:clientData/>
  </xdr:twoCellAnchor>
  <xdr:twoCellAnchor>
    <xdr:from>
      <xdr:col>3</xdr:col>
      <xdr:colOff>752475</xdr:colOff>
      <xdr:row>5</xdr:row>
      <xdr:rowOff>19050</xdr:rowOff>
    </xdr:from>
    <xdr:to>
      <xdr:col>5</xdr:col>
      <xdr:colOff>266701</xdr:colOff>
      <xdr:row>8</xdr:row>
      <xdr:rowOff>152400</xdr:rowOff>
    </xdr:to>
    <xdr:sp macro="" textlink="">
      <xdr:nvSpPr>
        <xdr:cNvPr id="9" name="Rechteck 8"/>
        <xdr:cNvSpPr/>
      </xdr:nvSpPr>
      <xdr:spPr bwMode="auto">
        <a:xfrm>
          <a:off x="3038475" y="828675"/>
          <a:ext cx="1038226"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org. Dünger</a:t>
          </a:r>
        </a:p>
      </xdr:txBody>
    </xdr:sp>
    <xdr:clientData/>
  </xdr:twoCellAnchor>
  <xdr:twoCellAnchor>
    <xdr:from>
      <xdr:col>4</xdr:col>
      <xdr:colOff>104775</xdr:colOff>
      <xdr:row>8</xdr:row>
      <xdr:rowOff>152400</xdr:rowOff>
    </xdr:from>
    <xdr:to>
      <xdr:col>6</xdr:col>
      <xdr:colOff>66675</xdr:colOff>
      <xdr:row>16</xdr:row>
      <xdr:rowOff>104775</xdr:rowOff>
    </xdr:to>
    <xdr:cxnSp macro="">
      <xdr:nvCxnSpPr>
        <xdr:cNvPr id="225597" name="Gerade Verbindung mit Pfeil 10"/>
        <xdr:cNvCxnSpPr>
          <a:cxnSpLocks noChangeShapeType="1"/>
          <a:stCxn id="8" idx="2"/>
        </xdr:cNvCxnSpPr>
      </xdr:nvCxnSpPr>
      <xdr:spPr bwMode="auto">
        <a:xfrm flipH="1">
          <a:off x="3152775" y="1514475"/>
          <a:ext cx="1485900" cy="12477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495300</xdr:colOff>
      <xdr:row>7</xdr:row>
      <xdr:rowOff>38100</xdr:rowOff>
    </xdr:from>
    <xdr:to>
      <xdr:col>1</xdr:col>
      <xdr:colOff>238126</xdr:colOff>
      <xdr:row>8</xdr:row>
      <xdr:rowOff>152400</xdr:rowOff>
    </xdr:to>
    <xdr:sp macro="" textlink="">
      <xdr:nvSpPr>
        <xdr:cNvPr id="12" name="Rechteck 11"/>
        <xdr:cNvSpPr/>
      </xdr:nvSpPr>
      <xdr:spPr bwMode="auto">
        <a:xfrm>
          <a:off x="495300" y="1171575"/>
          <a:ext cx="504826" cy="2762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Mist</a:t>
          </a:r>
        </a:p>
      </xdr:txBody>
    </xdr:sp>
    <xdr:clientData/>
  </xdr:twoCellAnchor>
  <xdr:twoCellAnchor>
    <xdr:from>
      <xdr:col>1</xdr:col>
      <xdr:colOff>228600</xdr:colOff>
      <xdr:row>7</xdr:row>
      <xdr:rowOff>38100</xdr:rowOff>
    </xdr:from>
    <xdr:to>
      <xdr:col>1</xdr:col>
      <xdr:colOff>733426</xdr:colOff>
      <xdr:row>8</xdr:row>
      <xdr:rowOff>152400</xdr:rowOff>
    </xdr:to>
    <xdr:sp macro="" textlink="">
      <xdr:nvSpPr>
        <xdr:cNvPr id="13" name="Rechteck 12"/>
        <xdr:cNvSpPr/>
      </xdr:nvSpPr>
      <xdr:spPr bwMode="auto">
        <a:xfrm>
          <a:off x="990600" y="1171575"/>
          <a:ext cx="504826" cy="2762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Weide</a:t>
          </a:r>
        </a:p>
      </xdr:txBody>
    </xdr:sp>
    <xdr:clientData/>
  </xdr:twoCellAnchor>
  <xdr:twoCellAnchor>
    <xdr:from>
      <xdr:col>1</xdr:col>
      <xdr:colOff>733425</xdr:colOff>
      <xdr:row>7</xdr:row>
      <xdr:rowOff>38100</xdr:rowOff>
    </xdr:from>
    <xdr:to>
      <xdr:col>2</xdr:col>
      <xdr:colOff>476251</xdr:colOff>
      <xdr:row>8</xdr:row>
      <xdr:rowOff>152400</xdr:rowOff>
    </xdr:to>
    <xdr:sp macro="" textlink="">
      <xdr:nvSpPr>
        <xdr:cNvPr id="14" name="Rechteck 13"/>
        <xdr:cNvSpPr/>
      </xdr:nvSpPr>
      <xdr:spPr bwMode="auto">
        <a:xfrm>
          <a:off x="1495425" y="1171575"/>
          <a:ext cx="504826" cy="2762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Gülle</a:t>
          </a:r>
        </a:p>
      </xdr:txBody>
    </xdr:sp>
    <xdr:clientData/>
  </xdr:twoCellAnchor>
  <xdr:twoCellAnchor>
    <xdr:from>
      <xdr:col>4</xdr:col>
      <xdr:colOff>504825</xdr:colOff>
      <xdr:row>26</xdr:row>
      <xdr:rowOff>38100</xdr:rowOff>
    </xdr:from>
    <xdr:to>
      <xdr:col>6</xdr:col>
      <xdr:colOff>95251</xdr:colOff>
      <xdr:row>30</xdr:row>
      <xdr:rowOff>9525</xdr:rowOff>
    </xdr:to>
    <xdr:sp macro="" textlink="">
      <xdr:nvSpPr>
        <xdr:cNvPr id="15" name="Rechteck 14"/>
        <xdr:cNvSpPr/>
      </xdr:nvSpPr>
      <xdr:spPr bwMode="auto">
        <a:xfrm>
          <a:off x="3552825" y="4248150"/>
          <a:ext cx="1114426"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Abgabe</a:t>
          </a:r>
        </a:p>
      </xdr:txBody>
    </xdr:sp>
    <xdr:clientData/>
  </xdr:twoCellAnchor>
  <xdr:twoCellAnchor>
    <xdr:from>
      <xdr:col>0</xdr:col>
      <xdr:colOff>495300</xdr:colOff>
      <xdr:row>26</xdr:row>
      <xdr:rowOff>76200</xdr:rowOff>
    </xdr:from>
    <xdr:to>
      <xdr:col>2</xdr:col>
      <xdr:colOff>85726</xdr:colOff>
      <xdr:row>30</xdr:row>
      <xdr:rowOff>47625</xdr:rowOff>
    </xdr:to>
    <xdr:sp macro="" textlink="">
      <xdr:nvSpPr>
        <xdr:cNvPr id="16" name="Rechteck 15"/>
        <xdr:cNvSpPr/>
      </xdr:nvSpPr>
      <xdr:spPr bwMode="auto">
        <a:xfrm>
          <a:off x="495300" y="4286250"/>
          <a:ext cx="1114426" cy="6191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b" upright="1"/>
        <a:lstStyle/>
        <a:p>
          <a:pPr algn="ctr"/>
          <a:r>
            <a:rPr lang="de-DE" sz="1100">
              <a:latin typeface="Arial" panose="020B0604020202020204" pitchFamily="34" charset="0"/>
              <a:cs typeface="Arial" panose="020B0604020202020204" pitchFamily="34" charset="0"/>
            </a:rPr>
            <a:t>Eigene Flächen</a:t>
          </a:r>
        </a:p>
      </xdr:txBody>
    </xdr:sp>
    <xdr:clientData/>
  </xdr:twoCellAnchor>
  <xdr:twoCellAnchor>
    <xdr:from>
      <xdr:col>1</xdr:col>
      <xdr:colOff>85725</xdr:colOff>
      <xdr:row>26</xdr:row>
      <xdr:rowOff>76200</xdr:rowOff>
    </xdr:from>
    <xdr:to>
      <xdr:col>2</xdr:col>
      <xdr:colOff>85726</xdr:colOff>
      <xdr:row>28</xdr:row>
      <xdr:rowOff>142875</xdr:rowOff>
    </xdr:to>
    <xdr:sp macro="" textlink="">
      <xdr:nvSpPr>
        <xdr:cNvPr id="17" name="Rechteck 16"/>
        <xdr:cNvSpPr/>
      </xdr:nvSpPr>
      <xdr:spPr bwMode="auto">
        <a:xfrm>
          <a:off x="847725" y="4286250"/>
          <a:ext cx="762001" cy="390525"/>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170 kg</a:t>
          </a:r>
        </a:p>
      </xdr:txBody>
    </xdr:sp>
    <xdr:clientData/>
  </xdr:twoCellAnchor>
  <xdr:twoCellAnchor>
    <xdr:from>
      <xdr:col>0</xdr:col>
      <xdr:colOff>676275</xdr:colOff>
      <xdr:row>8</xdr:row>
      <xdr:rowOff>152400</xdr:rowOff>
    </xdr:from>
    <xdr:to>
      <xdr:col>0</xdr:col>
      <xdr:colOff>752475</xdr:colOff>
      <xdr:row>18</xdr:row>
      <xdr:rowOff>152400</xdr:rowOff>
    </xdr:to>
    <xdr:cxnSp macro="">
      <xdr:nvCxnSpPr>
        <xdr:cNvPr id="225604" name="Gerade Verbindung mit Pfeil 18"/>
        <xdr:cNvCxnSpPr>
          <a:cxnSpLocks noChangeShapeType="1"/>
          <a:stCxn id="12" idx="2"/>
        </xdr:cNvCxnSpPr>
      </xdr:nvCxnSpPr>
      <xdr:spPr bwMode="auto">
        <a:xfrm flipH="1">
          <a:off x="676275" y="1514475"/>
          <a:ext cx="76200" cy="1619250"/>
        </a:xfrm>
        <a:prstGeom prst="straightConnector1">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590550</xdr:colOff>
      <xdr:row>18</xdr:row>
      <xdr:rowOff>142875</xdr:rowOff>
    </xdr:from>
    <xdr:to>
      <xdr:col>0</xdr:col>
      <xdr:colOff>676275</xdr:colOff>
      <xdr:row>26</xdr:row>
      <xdr:rowOff>133350</xdr:rowOff>
    </xdr:to>
    <xdr:cxnSp macro="">
      <xdr:nvCxnSpPr>
        <xdr:cNvPr id="225605" name="Gerade Verbindung mit Pfeil 21"/>
        <xdr:cNvCxnSpPr>
          <a:cxnSpLocks noChangeShapeType="1"/>
        </xdr:cNvCxnSpPr>
      </xdr:nvCxnSpPr>
      <xdr:spPr bwMode="auto">
        <a:xfrm flipH="1">
          <a:off x="590550" y="3124200"/>
          <a:ext cx="85725" cy="12858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714375</xdr:colOff>
      <xdr:row>13</xdr:row>
      <xdr:rowOff>76200</xdr:rowOff>
    </xdr:from>
    <xdr:to>
      <xdr:col>1</xdr:col>
      <xdr:colOff>285750</xdr:colOff>
      <xdr:row>26</xdr:row>
      <xdr:rowOff>76200</xdr:rowOff>
    </xdr:to>
    <xdr:cxnSp macro="">
      <xdr:nvCxnSpPr>
        <xdr:cNvPr id="225606" name="Gerade Verbindung mit Pfeil 24"/>
        <xdr:cNvCxnSpPr>
          <a:cxnSpLocks noChangeShapeType="1"/>
        </xdr:cNvCxnSpPr>
      </xdr:nvCxnSpPr>
      <xdr:spPr bwMode="auto">
        <a:xfrm>
          <a:off x="714375" y="2247900"/>
          <a:ext cx="333375" cy="210502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438150</xdr:colOff>
      <xdr:row>8</xdr:row>
      <xdr:rowOff>142875</xdr:rowOff>
    </xdr:from>
    <xdr:to>
      <xdr:col>1</xdr:col>
      <xdr:colOff>466725</xdr:colOff>
      <xdr:row>26</xdr:row>
      <xdr:rowOff>76200</xdr:rowOff>
    </xdr:to>
    <xdr:cxnSp macro="">
      <xdr:nvCxnSpPr>
        <xdr:cNvPr id="225607" name="Gerade Verbindung mit Pfeil 30"/>
        <xdr:cNvCxnSpPr>
          <a:cxnSpLocks noChangeShapeType="1"/>
          <a:endCxn id="17" idx="0"/>
        </xdr:cNvCxnSpPr>
      </xdr:nvCxnSpPr>
      <xdr:spPr bwMode="auto">
        <a:xfrm>
          <a:off x="1200150" y="1504950"/>
          <a:ext cx="28575" cy="28479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638175</xdr:colOff>
      <xdr:row>8</xdr:row>
      <xdr:rowOff>152400</xdr:rowOff>
    </xdr:from>
    <xdr:to>
      <xdr:col>2</xdr:col>
      <xdr:colOff>123825</xdr:colOff>
      <xdr:row>26</xdr:row>
      <xdr:rowOff>85725</xdr:rowOff>
    </xdr:to>
    <xdr:cxnSp macro="">
      <xdr:nvCxnSpPr>
        <xdr:cNvPr id="225608" name="Gerade Verbindung mit Pfeil 36"/>
        <xdr:cNvCxnSpPr>
          <a:cxnSpLocks noChangeShapeType="1"/>
        </xdr:cNvCxnSpPr>
      </xdr:nvCxnSpPr>
      <xdr:spPr bwMode="auto">
        <a:xfrm flipH="1">
          <a:off x="1400175" y="1514475"/>
          <a:ext cx="247650" cy="28479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85725</xdr:colOff>
      <xdr:row>8</xdr:row>
      <xdr:rowOff>152400</xdr:rowOff>
    </xdr:from>
    <xdr:to>
      <xdr:col>2</xdr:col>
      <xdr:colOff>466725</xdr:colOff>
      <xdr:row>16</xdr:row>
      <xdr:rowOff>133350</xdr:rowOff>
    </xdr:to>
    <xdr:cxnSp macro="">
      <xdr:nvCxnSpPr>
        <xdr:cNvPr id="225609" name="Gerade Verbindung mit Pfeil 38"/>
        <xdr:cNvCxnSpPr>
          <a:cxnSpLocks noChangeShapeType="1"/>
        </xdr:cNvCxnSpPr>
      </xdr:nvCxnSpPr>
      <xdr:spPr bwMode="auto">
        <a:xfrm>
          <a:off x="847725" y="1514475"/>
          <a:ext cx="1143000" cy="127635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247650</xdr:colOff>
      <xdr:row>8</xdr:row>
      <xdr:rowOff>152400</xdr:rowOff>
    </xdr:from>
    <xdr:to>
      <xdr:col>2</xdr:col>
      <xdr:colOff>609600</xdr:colOff>
      <xdr:row>16</xdr:row>
      <xdr:rowOff>104775</xdr:rowOff>
    </xdr:to>
    <xdr:cxnSp macro="">
      <xdr:nvCxnSpPr>
        <xdr:cNvPr id="225610" name="Gerade Verbindung mit Pfeil 40"/>
        <xdr:cNvCxnSpPr>
          <a:cxnSpLocks noChangeShapeType="1"/>
        </xdr:cNvCxnSpPr>
      </xdr:nvCxnSpPr>
      <xdr:spPr bwMode="auto">
        <a:xfrm>
          <a:off x="1771650" y="1514475"/>
          <a:ext cx="361950" cy="12477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114300</xdr:colOff>
      <xdr:row>9</xdr:row>
      <xdr:rowOff>0</xdr:rowOff>
    </xdr:from>
    <xdr:to>
      <xdr:col>3</xdr:col>
      <xdr:colOff>180975</xdr:colOff>
      <xdr:row>16</xdr:row>
      <xdr:rowOff>95250</xdr:rowOff>
    </xdr:to>
    <xdr:cxnSp macro="">
      <xdr:nvCxnSpPr>
        <xdr:cNvPr id="225611" name="Gerade Verbindung mit Pfeil 42"/>
        <xdr:cNvCxnSpPr>
          <a:cxnSpLocks noChangeShapeType="1"/>
          <a:endCxn id="3" idx="0"/>
        </xdr:cNvCxnSpPr>
      </xdr:nvCxnSpPr>
      <xdr:spPr bwMode="auto">
        <a:xfrm>
          <a:off x="2400300" y="1524000"/>
          <a:ext cx="66675" cy="122872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504825</xdr:colOff>
      <xdr:row>8</xdr:row>
      <xdr:rowOff>152400</xdr:rowOff>
    </xdr:from>
    <xdr:to>
      <xdr:col>4</xdr:col>
      <xdr:colOff>561975</xdr:colOff>
      <xdr:row>16</xdr:row>
      <xdr:rowOff>104775</xdr:rowOff>
    </xdr:to>
    <xdr:cxnSp macro="">
      <xdr:nvCxnSpPr>
        <xdr:cNvPr id="225612" name="Gerade Verbindung mit Pfeil 44"/>
        <xdr:cNvCxnSpPr>
          <a:cxnSpLocks noChangeShapeType="1"/>
        </xdr:cNvCxnSpPr>
      </xdr:nvCxnSpPr>
      <xdr:spPr bwMode="auto">
        <a:xfrm flipH="1">
          <a:off x="2790825" y="1514475"/>
          <a:ext cx="819150" cy="12477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47625</xdr:colOff>
      <xdr:row>20</xdr:row>
      <xdr:rowOff>66675</xdr:rowOff>
    </xdr:from>
    <xdr:to>
      <xdr:col>5</xdr:col>
      <xdr:colOff>133350</xdr:colOff>
      <xdr:row>26</xdr:row>
      <xdr:rowOff>47625</xdr:rowOff>
    </xdr:to>
    <xdr:cxnSp macro="">
      <xdr:nvCxnSpPr>
        <xdr:cNvPr id="225613" name="Gerade Verbindung mit Pfeil 46"/>
        <xdr:cNvCxnSpPr>
          <a:cxnSpLocks noChangeShapeType="1"/>
        </xdr:cNvCxnSpPr>
      </xdr:nvCxnSpPr>
      <xdr:spPr bwMode="auto">
        <a:xfrm>
          <a:off x="3095625" y="3371850"/>
          <a:ext cx="847725" cy="95250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247650</xdr:colOff>
      <xdr:row>20</xdr:row>
      <xdr:rowOff>66675</xdr:rowOff>
    </xdr:from>
    <xdr:to>
      <xdr:col>2</xdr:col>
      <xdr:colOff>504825</xdr:colOff>
      <xdr:row>23</xdr:row>
      <xdr:rowOff>76200</xdr:rowOff>
    </xdr:to>
    <xdr:cxnSp macro="">
      <xdr:nvCxnSpPr>
        <xdr:cNvPr id="225614" name="Gerade Verbindung mit Pfeil 48"/>
        <xdr:cNvCxnSpPr>
          <a:cxnSpLocks noChangeShapeType="1"/>
        </xdr:cNvCxnSpPr>
      </xdr:nvCxnSpPr>
      <xdr:spPr bwMode="auto">
        <a:xfrm flipH="1">
          <a:off x="1771650" y="3371850"/>
          <a:ext cx="257175" cy="495300"/>
        </a:xfrm>
        <a:prstGeom prst="straightConnector1">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23</xdr:row>
      <xdr:rowOff>38100</xdr:rowOff>
    </xdr:from>
    <xdr:to>
      <xdr:col>2</xdr:col>
      <xdr:colOff>266700</xdr:colOff>
      <xdr:row>26</xdr:row>
      <xdr:rowOff>66675</xdr:rowOff>
    </xdr:to>
    <xdr:cxnSp macro="">
      <xdr:nvCxnSpPr>
        <xdr:cNvPr id="225615" name="Gerade Verbindung mit Pfeil 53"/>
        <xdr:cNvCxnSpPr>
          <a:cxnSpLocks noChangeShapeType="1"/>
        </xdr:cNvCxnSpPr>
      </xdr:nvCxnSpPr>
      <xdr:spPr bwMode="auto">
        <a:xfrm flipH="1">
          <a:off x="1533525" y="3829050"/>
          <a:ext cx="257175" cy="51435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9</xdr:row>
      <xdr:rowOff>152400</xdr:rowOff>
    </xdr:from>
    <xdr:to>
      <xdr:col>1</xdr:col>
      <xdr:colOff>209550</xdr:colOff>
      <xdr:row>26</xdr:row>
      <xdr:rowOff>95250</xdr:rowOff>
    </xdr:to>
    <xdr:cxnSp macro="">
      <xdr:nvCxnSpPr>
        <xdr:cNvPr id="225616" name="Gerade Verbindung mit Pfeil 55"/>
        <xdr:cNvCxnSpPr>
          <a:cxnSpLocks noChangeShapeType="1"/>
        </xdr:cNvCxnSpPr>
      </xdr:nvCxnSpPr>
      <xdr:spPr bwMode="auto">
        <a:xfrm flipH="1">
          <a:off x="762000" y="1676400"/>
          <a:ext cx="209550" cy="26955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152400</xdr:colOff>
      <xdr:row>16</xdr:row>
      <xdr:rowOff>95250</xdr:rowOff>
    </xdr:from>
    <xdr:to>
      <xdr:col>4</xdr:col>
      <xdr:colOff>228600</xdr:colOff>
      <xdr:row>20</xdr:row>
      <xdr:rowOff>76200</xdr:rowOff>
    </xdr:to>
    <xdr:sp macro="" textlink="">
      <xdr:nvSpPr>
        <xdr:cNvPr id="225617" name="Rechteck 59"/>
        <xdr:cNvSpPr>
          <a:spLocks noChangeArrowheads="1"/>
        </xdr:cNvSpPr>
      </xdr:nvSpPr>
      <xdr:spPr bwMode="auto">
        <a:xfrm>
          <a:off x="1676400" y="2752725"/>
          <a:ext cx="1600200" cy="628650"/>
        </a:xfrm>
        <a:prstGeom prst="rect">
          <a:avLst/>
        </a:prstGeom>
        <a:noFill/>
        <a:ln w="63500" algn="ctr">
          <a:solidFill>
            <a:srgbClr val="7030A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26</xdr:row>
      <xdr:rowOff>85725</xdr:rowOff>
    </xdr:from>
    <xdr:to>
      <xdr:col>2</xdr:col>
      <xdr:colOff>66675</xdr:colOff>
      <xdr:row>28</xdr:row>
      <xdr:rowOff>152400</xdr:rowOff>
    </xdr:to>
    <xdr:sp macro="" textlink="">
      <xdr:nvSpPr>
        <xdr:cNvPr id="225618" name="Rechteck 60"/>
        <xdr:cNvSpPr>
          <a:spLocks noChangeArrowheads="1"/>
        </xdr:cNvSpPr>
      </xdr:nvSpPr>
      <xdr:spPr bwMode="auto">
        <a:xfrm>
          <a:off x="866775" y="4362450"/>
          <a:ext cx="723900" cy="390525"/>
        </a:xfrm>
        <a:prstGeom prst="rect">
          <a:avLst/>
        </a:prstGeom>
        <a:noFill/>
        <a:ln w="63500" algn="ctr">
          <a:solidFill>
            <a:srgbClr val="7030A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447675</xdr:colOff>
      <xdr:row>24</xdr:row>
      <xdr:rowOff>85724</xdr:rowOff>
    </xdr:from>
    <xdr:to>
      <xdr:col>1</xdr:col>
      <xdr:colOff>142875</xdr:colOff>
      <xdr:row>25</xdr:row>
      <xdr:rowOff>95250</xdr:rowOff>
    </xdr:to>
    <xdr:sp macro="" textlink="">
      <xdr:nvSpPr>
        <xdr:cNvPr id="27" name="Rechteck 26"/>
        <xdr:cNvSpPr/>
      </xdr:nvSpPr>
      <xdr:spPr bwMode="auto">
        <a:xfrm>
          <a:off x="447675" y="3971924"/>
          <a:ext cx="457200" cy="171451"/>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latin typeface="Arial" panose="020B0604020202020204" pitchFamily="34" charset="0"/>
              <a:cs typeface="Arial" panose="020B0604020202020204" pitchFamily="34" charset="0"/>
            </a:rPr>
            <a:t>Stroh</a:t>
          </a:r>
        </a:p>
      </xdr:txBody>
    </xdr:sp>
    <xdr:clientData/>
  </xdr:twoCellAnchor>
  <xdr:twoCellAnchor>
    <xdr:from>
      <xdr:col>0</xdr:col>
      <xdr:colOff>342900</xdr:colOff>
      <xdr:row>32</xdr:row>
      <xdr:rowOff>114299</xdr:rowOff>
    </xdr:from>
    <xdr:to>
      <xdr:col>0</xdr:col>
      <xdr:colOff>609600</xdr:colOff>
      <xdr:row>34</xdr:row>
      <xdr:rowOff>85724</xdr:rowOff>
    </xdr:to>
    <xdr:sp macro="" textlink="">
      <xdr:nvSpPr>
        <xdr:cNvPr id="65" name="Stern mit 8 Zacken 64"/>
        <xdr:cNvSpPr/>
      </xdr:nvSpPr>
      <xdr:spPr bwMode="auto">
        <a:xfrm>
          <a:off x="342900" y="5295899"/>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5</a:t>
          </a:r>
        </a:p>
      </xdr:txBody>
    </xdr:sp>
    <xdr:clientData/>
  </xdr:twoCellAnchor>
  <xdr:twoCellAnchor>
    <xdr:from>
      <xdr:col>5</xdr:col>
      <xdr:colOff>57150</xdr:colOff>
      <xdr:row>11</xdr:row>
      <xdr:rowOff>28575</xdr:rowOff>
    </xdr:from>
    <xdr:to>
      <xdr:col>5</xdr:col>
      <xdr:colOff>323850</xdr:colOff>
      <xdr:row>13</xdr:row>
      <xdr:rowOff>0</xdr:rowOff>
    </xdr:to>
    <xdr:sp macro="" textlink="">
      <xdr:nvSpPr>
        <xdr:cNvPr id="66" name="Stern mit 8 Zacken 65"/>
        <xdr:cNvSpPr/>
      </xdr:nvSpPr>
      <xdr:spPr bwMode="auto">
        <a:xfrm>
          <a:off x="3867150" y="1809750"/>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5</a:t>
          </a:r>
        </a:p>
      </xdr:txBody>
    </xdr:sp>
    <xdr:clientData/>
  </xdr:twoCellAnchor>
  <xdr:twoCellAnchor>
    <xdr:from>
      <xdr:col>4</xdr:col>
      <xdr:colOff>85725</xdr:colOff>
      <xdr:row>11</xdr:row>
      <xdr:rowOff>28575</xdr:rowOff>
    </xdr:from>
    <xdr:to>
      <xdr:col>4</xdr:col>
      <xdr:colOff>352425</xdr:colOff>
      <xdr:row>13</xdr:row>
      <xdr:rowOff>0</xdr:rowOff>
    </xdr:to>
    <xdr:sp macro="" textlink="">
      <xdr:nvSpPr>
        <xdr:cNvPr id="67" name="Stern mit 8 Zacken 66"/>
        <xdr:cNvSpPr/>
      </xdr:nvSpPr>
      <xdr:spPr bwMode="auto">
        <a:xfrm>
          <a:off x="3133725" y="1809750"/>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5</a:t>
          </a:r>
        </a:p>
      </xdr:txBody>
    </xdr:sp>
    <xdr:clientData/>
  </xdr:twoCellAnchor>
  <xdr:twoCellAnchor>
    <xdr:from>
      <xdr:col>3</xdr:col>
      <xdr:colOff>0</xdr:colOff>
      <xdr:row>11</xdr:row>
      <xdr:rowOff>66675</xdr:rowOff>
    </xdr:from>
    <xdr:to>
      <xdr:col>3</xdr:col>
      <xdr:colOff>266700</xdr:colOff>
      <xdr:row>13</xdr:row>
      <xdr:rowOff>38100</xdr:rowOff>
    </xdr:to>
    <xdr:sp macro="" textlink="">
      <xdr:nvSpPr>
        <xdr:cNvPr id="68" name="Stern mit 8 Zacken 67"/>
        <xdr:cNvSpPr/>
      </xdr:nvSpPr>
      <xdr:spPr bwMode="auto">
        <a:xfrm>
          <a:off x="2286000" y="1847850"/>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5</a:t>
          </a:r>
        </a:p>
      </xdr:txBody>
    </xdr:sp>
    <xdr:clientData/>
  </xdr:twoCellAnchor>
  <xdr:twoCellAnchor>
    <xdr:from>
      <xdr:col>0</xdr:col>
      <xdr:colOff>466725</xdr:colOff>
      <xdr:row>22</xdr:row>
      <xdr:rowOff>76200</xdr:rowOff>
    </xdr:from>
    <xdr:to>
      <xdr:col>0</xdr:col>
      <xdr:colOff>733425</xdr:colOff>
      <xdr:row>24</xdr:row>
      <xdr:rowOff>47625</xdr:rowOff>
    </xdr:to>
    <xdr:sp macro="" textlink="">
      <xdr:nvSpPr>
        <xdr:cNvPr id="69" name="Stern mit 8 Zacken 68"/>
        <xdr:cNvSpPr/>
      </xdr:nvSpPr>
      <xdr:spPr bwMode="auto">
        <a:xfrm>
          <a:off x="466725" y="3638550"/>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0</a:t>
          </a:r>
        </a:p>
      </xdr:txBody>
    </xdr:sp>
    <xdr:clientData/>
  </xdr:twoCellAnchor>
  <xdr:twoCellAnchor>
    <xdr:from>
      <xdr:col>0</xdr:col>
      <xdr:colOff>638175</xdr:colOff>
      <xdr:row>22</xdr:row>
      <xdr:rowOff>104775</xdr:rowOff>
    </xdr:from>
    <xdr:to>
      <xdr:col>1</xdr:col>
      <xdr:colOff>142875</xdr:colOff>
      <xdr:row>24</xdr:row>
      <xdr:rowOff>76200</xdr:rowOff>
    </xdr:to>
    <xdr:sp macro="" textlink="">
      <xdr:nvSpPr>
        <xdr:cNvPr id="70" name="Stern mit 8 Zacken 69"/>
        <xdr:cNvSpPr/>
      </xdr:nvSpPr>
      <xdr:spPr bwMode="auto">
        <a:xfrm>
          <a:off x="638175" y="3667125"/>
          <a:ext cx="266700"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b="1">
              <a:latin typeface="Arial" panose="020B0604020202020204" pitchFamily="34" charset="0"/>
              <a:cs typeface="Arial" panose="020B0604020202020204" pitchFamily="34" charset="0"/>
            </a:rPr>
            <a:t>0</a:t>
          </a:r>
        </a:p>
      </xdr:txBody>
    </xdr:sp>
    <xdr:clientData/>
  </xdr:twoCellAnchor>
  <xdr:twoCellAnchor>
    <xdr:from>
      <xdr:col>2</xdr:col>
      <xdr:colOff>190499</xdr:colOff>
      <xdr:row>10</xdr:row>
      <xdr:rowOff>66675</xdr:rowOff>
    </xdr:from>
    <xdr:to>
      <xdr:col>2</xdr:col>
      <xdr:colOff>504824</xdr:colOff>
      <xdr:row>12</xdr:row>
      <xdr:rowOff>38100</xdr:rowOff>
    </xdr:to>
    <xdr:sp macro="" textlink="">
      <xdr:nvSpPr>
        <xdr:cNvPr id="71" name="Stern mit 8 Zacken 70"/>
        <xdr:cNvSpPr/>
      </xdr:nvSpPr>
      <xdr:spPr bwMode="auto">
        <a:xfrm>
          <a:off x="1714499" y="1685925"/>
          <a:ext cx="314325"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600" b="1">
              <a:latin typeface="Arial" panose="020B0604020202020204" pitchFamily="34" charset="0"/>
              <a:cs typeface="Arial" panose="020B0604020202020204" pitchFamily="34" charset="0"/>
            </a:rPr>
            <a:t>DüV</a:t>
          </a:r>
        </a:p>
      </xdr:txBody>
    </xdr:sp>
    <xdr:clientData/>
  </xdr:twoCellAnchor>
  <xdr:twoCellAnchor>
    <xdr:from>
      <xdr:col>1</xdr:col>
      <xdr:colOff>666749</xdr:colOff>
      <xdr:row>10</xdr:row>
      <xdr:rowOff>133350</xdr:rowOff>
    </xdr:from>
    <xdr:to>
      <xdr:col>2</xdr:col>
      <xdr:colOff>219074</xdr:colOff>
      <xdr:row>12</xdr:row>
      <xdr:rowOff>104775</xdr:rowOff>
    </xdr:to>
    <xdr:sp macro="" textlink="">
      <xdr:nvSpPr>
        <xdr:cNvPr id="72" name="Stern mit 8 Zacken 71"/>
        <xdr:cNvSpPr/>
      </xdr:nvSpPr>
      <xdr:spPr bwMode="auto">
        <a:xfrm>
          <a:off x="1428749" y="1752600"/>
          <a:ext cx="314325"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600" b="1">
              <a:latin typeface="Arial" panose="020B0604020202020204" pitchFamily="34" charset="0"/>
              <a:cs typeface="Arial" panose="020B0604020202020204" pitchFamily="34" charset="0"/>
            </a:rPr>
            <a:t>DüV</a:t>
          </a:r>
        </a:p>
      </xdr:txBody>
    </xdr:sp>
    <xdr:clientData/>
  </xdr:twoCellAnchor>
  <xdr:twoCellAnchor>
    <xdr:from>
      <xdr:col>1</xdr:col>
      <xdr:colOff>276224</xdr:colOff>
      <xdr:row>13</xdr:row>
      <xdr:rowOff>85725</xdr:rowOff>
    </xdr:from>
    <xdr:to>
      <xdr:col>1</xdr:col>
      <xdr:colOff>590549</xdr:colOff>
      <xdr:row>15</xdr:row>
      <xdr:rowOff>57150</xdr:rowOff>
    </xdr:to>
    <xdr:sp macro="" textlink="">
      <xdr:nvSpPr>
        <xdr:cNvPr id="73" name="Stern mit 8 Zacken 72"/>
        <xdr:cNvSpPr/>
      </xdr:nvSpPr>
      <xdr:spPr bwMode="auto">
        <a:xfrm>
          <a:off x="1038224" y="2190750"/>
          <a:ext cx="314325"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600" b="1">
              <a:latin typeface="Arial" panose="020B0604020202020204" pitchFamily="34" charset="0"/>
              <a:cs typeface="Arial" panose="020B0604020202020204" pitchFamily="34" charset="0"/>
            </a:rPr>
            <a:t>DüV</a:t>
          </a:r>
        </a:p>
      </xdr:txBody>
    </xdr:sp>
    <xdr:clientData/>
  </xdr:twoCellAnchor>
  <xdr:twoCellAnchor>
    <xdr:from>
      <xdr:col>1</xdr:col>
      <xdr:colOff>104774</xdr:colOff>
      <xdr:row>23</xdr:row>
      <xdr:rowOff>152400</xdr:rowOff>
    </xdr:from>
    <xdr:to>
      <xdr:col>1</xdr:col>
      <xdr:colOff>419099</xdr:colOff>
      <xdr:row>25</xdr:row>
      <xdr:rowOff>123825</xdr:rowOff>
    </xdr:to>
    <xdr:sp macro="" textlink="">
      <xdr:nvSpPr>
        <xdr:cNvPr id="74" name="Stern mit 8 Zacken 73"/>
        <xdr:cNvSpPr/>
      </xdr:nvSpPr>
      <xdr:spPr bwMode="auto">
        <a:xfrm>
          <a:off x="866774" y="3876675"/>
          <a:ext cx="314325" cy="295275"/>
        </a:xfrm>
        <a:prstGeom prst="star8">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600" b="1">
              <a:latin typeface="Arial" panose="020B0604020202020204" pitchFamily="34" charset="0"/>
              <a:cs typeface="Arial" panose="020B0604020202020204" pitchFamily="34" charset="0"/>
            </a:rPr>
            <a:t>DüV</a:t>
          </a:r>
        </a:p>
      </xdr:txBody>
    </xdr:sp>
    <xdr:clientData/>
  </xdr:twoCellAnchor>
  <xdr:twoCellAnchor>
    <xdr:from>
      <xdr:col>0</xdr:col>
      <xdr:colOff>333375</xdr:colOff>
      <xdr:row>35</xdr:row>
      <xdr:rowOff>123825</xdr:rowOff>
    </xdr:from>
    <xdr:to>
      <xdr:col>0</xdr:col>
      <xdr:colOff>609600</xdr:colOff>
      <xdr:row>37</xdr:row>
      <xdr:rowOff>76200</xdr:rowOff>
    </xdr:to>
    <xdr:sp macro="" textlink="">
      <xdr:nvSpPr>
        <xdr:cNvPr id="6" name="Stern mit 7 Zacken 5"/>
        <xdr:cNvSpPr/>
      </xdr:nvSpPr>
      <xdr:spPr bwMode="auto">
        <a:xfrm>
          <a:off x="333375" y="5857875"/>
          <a:ext cx="276225"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5</a:t>
          </a:r>
        </a:p>
      </xdr:txBody>
    </xdr:sp>
    <xdr:clientData/>
  </xdr:twoCellAnchor>
  <xdr:twoCellAnchor>
    <xdr:from>
      <xdr:col>5</xdr:col>
      <xdr:colOff>342900</xdr:colOff>
      <xdr:row>9</xdr:row>
      <xdr:rowOff>123825</xdr:rowOff>
    </xdr:from>
    <xdr:to>
      <xdr:col>5</xdr:col>
      <xdr:colOff>685800</xdr:colOff>
      <xdr:row>11</xdr:row>
      <xdr:rowOff>76200</xdr:rowOff>
    </xdr:to>
    <xdr:sp macro="" textlink="">
      <xdr:nvSpPr>
        <xdr:cNvPr id="43" name="Stern mit 7 Zacken 42"/>
        <xdr:cNvSpPr/>
      </xdr:nvSpPr>
      <xdr:spPr bwMode="auto">
        <a:xfrm>
          <a:off x="4152900" y="1647825"/>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1</xdr:col>
      <xdr:colOff>257175</xdr:colOff>
      <xdr:row>18</xdr:row>
      <xdr:rowOff>104775</xdr:rowOff>
    </xdr:from>
    <xdr:to>
      <xdr:col>1</xdr:col>
      <xdr:colOff>600075</xdr:colOff>
      <xdr:row>20</xdr:row>
      <xdr:rowOff>57150</xdr:rowOff>
    </xdr:to>
    <xdr:sp macro="" textlink="">
      <xdr:nvSpPr>
        <xdr:cNvPr id="44" name="Stern mit 7 Zacken 43"/>
        <xdr:cNvSpPr/>
      </xdr:nvSpPr>
      <xdr:spPr bwMode="auto">
        <a:xfrm>
          <a:off x="1019175" y="3086100"/>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1</xdr:col>
      <xdr:colOff>66675</xdr:colOff>
      <xdr:row>21</xdr:row>
      <xdr:rowOff>95250</xdr:rowOff>
    </xdr:from>
    <xdr:to>
      <xdr:col>1</xdr:col>
      <xdr:colOff>409575</xdr:colOff>
      <xdr:row>23</xdr:row>
      <xdr:rowOff>47625</xdr:rowOff>
    </xdr:to>
    <xdr:sp macro="" textlink="">
      <xdr:nvSpPr>
        <xdr:cNvPr id="45" name="Stern mit 7 Zacken 44"/>
        <xdr:cNvSpPr/>
      </xdr:nvSpPr>
      <xdr:spPr bwMode="auto">
        <a:xfrm>
          <a:off x="828675" y="3562350"/>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2</xdr:col>
      <xdr:colOff>714375</xdr:colOff>
      <xdr:row>9</xdr:row>
      <xdr:rowOff>28575</xdr:rowOff>
    </xdr:from>
    <xdr:to>
      <xdr:col>3</xdr:col>
      <xdr:colOff>295275</xdr:colOff>
      <xdr:row>10</xdr:row>
      <xdr:rowOff>142875</xdr:rowOff>
    </xdr:to>
    <xdr:sp macro="" textlink="">
      <xdr:nvSpPr>
        <xdr:cNvPr id="46" name="Stern mit 7 Zacken 45"/>
        <xdr:cNvSpPr/>
      </xdr:nvSpPr>
      <xdr:spPr bwMode="auto">
        <a:xfrm>
          <a:off x="2238375" y="1552575"/>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4</xdr:col>
      <xdr:colOff>228600</xdr:colOff>
      <xdr:row>9</xdr:row>
      <xdr:rowOff>66675</xdr:rowOff>
    </xdr:from>
    <xdr:to>
      <xdr:col>4</xdr:col>
      <xdr:colOff>571500</xdr:colOff>
      <xdr:row>11</xdr:row>
      <xdr:rowOff>19050</xdr:rowOff>
    </xdr:to>
    <xdr:sp macro="" textlink="">
      <xdr:nvSpPr>
        <xdr:cNvPr id="47" name="Stern mit 7 Zacken 46"/>
        <xdr:cNvSpPr/>
      </xdr:nvSpPr>
      <xdr:spPr bwMode="auto">
        <a:xfrm>
          <a:off x="3276600" y="1590675"/>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1</xdr:col>
      <xdr:colOff>533400</xdr:colOff>
      <xdr:row>20</xdr:row>
      <xdr:rowOff>85725</xdr:rowOff>
    </xdr:from>
    <xdr:to>
      <xdr:col>2</xdr:col>
      <xdr:colOff>114300</xdr:colOff>
      <xdr:row>22</xdr:row>
      <xdr:rowOff>38100</xdr:rowOff>
    </xdr:to>
    <xdr:sp macro="" textlink="">
      <xdr:nvSpPr>
        <xdr:cNvPr id="48" name="Stern mit 7 Zacken 47"/>
        <xdr:cNvSpPr/>
      </xdr:nvSpPr>
      <xdr:spPr bwMode="auto">
        <a:xfrm>
          <a:off x="1295400" y="3390900"/>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2</xdr:col>
      <xdr:colOff>285750</xdr:colOff>
      <xdr:row>13</xdr:row>
      <xdr:rowOff>0</xdr:rowOff>
    </xdr:from>
    <xdr:to>
      <xdr:col>2</xdr:col>
      <xdr:colOff>628650</xdr:colOff>
      <xdr:row>14</xdr:row>
      <xdr:rowOff>114300</xdr:rowOff>
    </xdr:to>
    <xdr:sp macro="" textlink="">
      <xdr:nvSpPr>
        <xdr:cNvPr id="49" name="Stern mit 7 Zacken 48"/>
        <xdr:cNvSpPr/>
      </xdr:nvSpPr>
      <xdr:spPr bwMode="auto">
        <a:xfrm>
          <a:off x="1809750" y="2171700"/>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twoCellAnchor>
    <xdr:from>
      <xdr:col>2</xdr:col>
      <xdr:colOff>47625</xdr:colOff>
      <xdr:row>14</xdr:row>
      <xdr:rowOff>47625</xdr:rowOff>
    </xdr:from>
    <xdr:to>
      <xdr:col>2</xdr:col>
      <xdr:colOff>390525</xdr:colOff>
      <xdr:row>16</xdr:row>
      <xdr:rowOff>0</xdr:rowOff>
    </xdr:to>
    <xdr:sp macro="" textlink="">
      <xdr:nvSpPr>
        <xdr:cNvPr id="50" name="Stern mit 7 Zacken 49"/>
        <xdr:cNvSpPr/>
      </xdr:nvSpPr>
      <xdr:spPr bwMode="auto">
        <a:xfrm>
          <a:off x="1571625" y="2381250"/>
          <a:ext cx="342900" cy="276225"/>
        </a:xfrm>
        <a:prstGeom prst="star7">
          <a:avLst/>
        </a:prstGeom>
        <a:solidFill>
          <a:srgbClr val="00B0F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100"/>
            <a:t>20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260" Type="http://schemas.openxmlformats.org/officeDocument/2006/relationships/ctrlProp" Target="../ctrlProps/ctrlProp256.xml"/><Relationship Id="rId265" Type="http://schemas.openxmlformats.org/officeDocument/2006/relationships/ctrlProp" Target="../ctrlProps/ctrlProp261.xml"/><Relationship Id="rId281" Type="http://schemas.openxmlformats.org/officeDocument/2006/relationships/ctrlProp" Target="../ctrlProps/ctrlProp277.xml"/><Relationship Id="rId286" Type="http://schemas.openxmlformats.org/officeDocument/2006/relationships/ctrlProp" Target="../ctrlProps/ctrlProp282.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18" Type="http://schemas.openxmlformats.org/officeDocument/2006/relationships/ctrlProp" Target="../ctrlProps/ctrlProp214.xml"/><Relationship Id="rId234" Type="http://schemas.openxmlformats.org/officeDocument/2006/relationships/ctrlProp" Target="../ctrlProps/ctrlProp230.xml"/><Relationship Id="rId239" Type="http://schemas.openxmlformats.org/officeDocument/2006/relationships/ctrlProp" Target="../ctrlProps/ctrlProp235.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50" Type="http://schemas.openxmlformats.org/officeDocument/2006/relationships/ctrlProp" Target="../ctrlProps/ctrlProp246.xml"/><Relationship Id="rId255" Type="http://schemas.openxmlformats.org/officeDocument/2006/relationships/ctrlProp" Target="../ctrlProps/ctrlProp251.xml"/><Relationship Id="rId271" Type="http://schemas.openxmlformats.org/officeDocument/2006/relationships/ctrlProp" Target="../ctrlProps/ctrlProp267.xml"/><Relationship Id="rId276" Type="http://schemas.openxmlformats.org/officeDocument/2006/relationships/ctrlProp" Target="../ctrlProps/ctrlProp272.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229" Type="http://schemas.openxmlformats.org/officeDocument/2006/relationships/ctrlProp" Target="../ctrlProps/ctrlProp225.xml"/><Relationship Id="rId19" Type="http://schemas.openxmlformats.org/officeDocument/2006/relationships/ctrlProp" Target="../ctrlProps/ctrlProp15.xml"/><Relationship Id="rId224" Type="http://schemas.openxmlformats.org/officeDocument/2006/relationships/ctrlProp" Target="../ctrlProps/ctrlProp220.xml"/><Relationship Id="rId240" Type="http://schemas.openxmlformats.org/officeDocument/2006/relationships/ctrlProp" Target="../ctrlProps/ctrlProp236.xml"/><Relationship Id="rId245" Type="http://schemas.openxmlformats.org/officeDocument/2006/relationships/ctrlProp" Target="../ctrlProps/ctrlProp241.xml"/><Relationship Id="rId261" Type="http://schemas.openxmlformats.org/officeDocument/2006/relationships/ctrlProp" Target="../ctrlProps/ctrlProp257.xml"/><Relationship Id="rId266" Type="http://schemas.openxmlformats.org/officeDocument/2006/relationships/ctrlProp" Target="../ctrlProps/ctrlProp262.xml"/><Relationship Id="rId287" Type="http://schemas.openxmlformats.org/officeDocument/2006/relationships/comments" Target="../comments1.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282" Type="http://schemas.openxmlformats.org/officeDocument/2006/relationships/ctrlProp" Target="../ctrlProps/ctrlProp278.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printerSettings" Target="../printerSettings/printerSettings1.bin"/><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6.xml"/><Relationship Id="rId3" Type="http://schemas.openxmlformats.org/officeDocument/2006/relationships/drawing" Target="../drawings/drawing2.xml"/><Relationship Id="rId7" Type="http://schemas.openxmlformats.org/officeDocument/2006/relationships/ctrlProp" Target="../ctrlProps/ctrlProp285.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84.xml"/><Relationship Id="rId5" Type="http://schemas.openxmlformats.org/officeDocument/2006/relationships/ctrlProp" Target="../ctrlProps/ctrlProp283.xml"/><Relationship Id="rId10"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28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EU353"/>
  <sheetViews>
    <sheetView tabSelected="1" zoomScale="90" zoomScaleNormal="90" zoomScaleSheetLayoutView="85" workbookViewId="0">
      <selection activeCell="B5" sqref="B5"/>
    </sheetView>
  </sheetViews>
  <sheetFormatPr baseColWidth="10" defaultRowHeight="12.75" x14ac:dyDescent="0.2"/>
  <cols>
    <col min="1" max="1" width="14.7109375" style="6" customWidth="1"/>
    <col min="2" max="2" width="14" style="6" customWidth="1"/>
    <col min="3" max="3" width="5.42578125" style="6" customWidth="1"/>
    <col min="4" max="7" width="7.5703125" style="6" customWidth="1"/>
    <col min="8" max="9" width="6.140625" style="6" customWidth="1"/>
    <col min="10" max="10" width="6.7109375" style="6" customWidth="1"/>
    <col min="11" max="12" width="3.7109375" style="6" customWidth="1"/>
    <col min="13" max="13" width="6.5703125" style="6" customWidth="1"/>
    <col min="14" max="14" width="0.85546875" style="6" customWidth="1"/>
    <col min="15" max="15" width="5.140625" style="406" hidden="1" customWidth="1"/>
    <col min="16" max="16" width="12.42578125" style="521" hidden="1" customWidth="1"/>
    <col min="17" max="17" width="8.85546875" style="521" hidden="1" customWidth="1"/>
    <col min="18" max="18" width="8.7109375" style="521" hidden="1" customWidth="1"/>
    <col min="19" max="23" width="9.42578125" style="521" hidden="1" customWidth="1"/>
    <col min="24" max="24" width="7.85546875" style="521" hidden="1" customWidth="1"/>
    <col min="25" max="26" width="12.28515625" style="521" hidden="1" customWidth="1"/>
    <col min="27" max="27" width="6.140625" style="521" hidden="1" customWidth="1"/>
    <col min="28" max="28" width="7.5703125" style="521" hidden="1" customWidth="1"/>
    <col min="29" max="29" width="9.28515625" style="521" hidden="1" customWidth="1"/>
    <col min="30" max="30" width="9.42578125" style="521" hidden="1" customWidth="1"/>
    <col min="31" max="31" width="8" style="521" hidden="1" customWidth="1"/>
    <col min="32" max="32" width="7.28515625" style="521" hidden="1" customWidth="1"/>
    <col min="33" max="33" width="8.28515625" style="521" hidden="1" customWidth="1"/>
    <col min="34" max="34" width="7.28515625" style="521" hidden="1" customWidth="1"/>
    <col min="35" max="35" width="8.5703125" style="521" hidden="1" customWidth="1"/>
    <col min="36" max="37" width="7" style="521" hidden="1" customWidth="1"/>
    <col min="38" max="38" width="9.5703125" style="521" hidden="1" customWidth="1"/>
    <col min="39" max="40" width="6.28515625" style="521" hidden="1" customWidth="1"/>
    <col min="41" max="41" width="7.7109375" style="521" hidden="1" customWidth="1"/>
    <col min="42" max="42" width="10.28515625" style="521" hidden="1" customWidth="1"/>
    <col min="43" max="43" width="5.7109375" style="521" hidden="1" customWidth="1"/>
    <col min="44" max="44" width="7.28515625" style="521" hidden="1" customWidth="1"/>
    <col min="45" max="45" width="12.85546875" style="521" hidden="1" customWidth="1"/>
    <col min="46" max="47" width="13.42578125" style="521" hidden="1" customWidth="1"/>
    <col min="48" max="48" width="7.5703125" style="521" hidden="1" customWidth="1"/>
    <col min="49" max="50" width="9.85546875" style="521" hidden="1" customWidth="1"/>
    <col min="51" max="52" width="5.7109375" style="521" hidden="1" customWidth="1"/>
    <col min="53" max="54" width="7" style="521" hidden="1" customWidth="1"/>
    <col min="55" max="55" width="7.7109375" style="521" hidden="1" customWidth="1"/>
    <col min="56" max="61" width="5.7109375" style="521" hidden="1" customWidth="1"/>
    <col min="62" max="62" width="7.42578125" style="521" hidden="1" customWidth="1"/>
    <col min="63" max="63" width="5.7109375" style="521" hidden="1" customWidth="1"/>
    <col min="64" max="64" width="11" style="521" hidden="1" customWidth="1"/>
    <col min="65" max="65" width="11.85546875" style="521" hidden="1" customWidth="1"/>
    <col min="66" max="66" width="13.5703125" style="521" hidden="1" customWidth="1"/>
    <col min="67" max="71" width="11.85546875" style="521" hidden="1" customWidth="1"/>
    <col min="72" max="75" width="11.85546875" style="522" hidden="1" customWidth="1"/>
    <col min="76" max="76" width="11.85546875" style="521" hidden="1" customWidth="1"/>
    <col min="77" max="77" width="12.42578125" style="521" hidden="1" customWidth="1"/>
    <col min="78" max="81" width="11.85546875" style="521" hidden="1" customWidth="1"/>
    <col min="82" max="89" width="11.85546875" style="406" hidden="1" customWidth="1"/>
    <col min="90" max="147" width="11.42578125" style="406" hidden="1" customWidth="1"/>
    <col min="148" max="158" width="11.42578125" style="406" customWidth="1"/>
    <col min="159" max="16384" width="11.42578125" style="406"/>
  </cols>
  <sheetData>
    <row r="1" spans="1:84" ht="21" customHeight="1" x14ac:dyDescent="0.2">
      <c r="A1" s="2083" t="s">
        <v>1263</v>
      </c>
      <c r="B1" s="2084"/>
      <c r="C1" s="2084"/>
      <c r="D1" s="2084"/>
      <c r="E1" s="2084"/>
      <c r="F1" s="2084"/>
      <c r="G1" s="2084"/>
      <c r="H1" s="2084"/>
      <c r="I1" s="2084"/>
      <c r="J1" s="5"/>
      <c r="K1" s="5"/>
      <c r="L1" s="4"/>
      <c r="M1" s="4"/>
      <c r="N1" s="4"/>
      <c r="BT1" s="521"/>
      <c r="BU1" s="521"/>
      <c r="BV1" s="521"/>
      <c r="BW1" s="521"/>
      <c r="BX1" s="522"/>
      <c r="BY1" s="522"/>
      <c r="BZ1" s="522"/>
      <c r="CA1" s="522"/>
      <c r="CD1" s="521"/>
      <c r="CE1" s="521"/>
      <c r="CF1" s="521"/>
    </row>
    <row r="2" spans="1:84" ht="15.75" customHeight="1" x14ac:dyDescent="0.2">
      <c r="A2" s="2087" t="s">
        <v>1047</v>
      </c>
      <c r="B2" s="2087"/>
      <c r="C2" s="2087"/>
      <c r="D2" s="2087"/>
      <c r="E2" s="2087"/>
      <c r="F2" s="2087"/>
      <c r="G2" s="2087"/>
      <c r="H2" s="2087"/>
      <c r="I2" s="2087"/>
      <c r="J2" s="7"/>
      <c r="K2" s="7"/>
      <c r="L2" s="4"/>
      <c r="M2" s="4"/>
      <c r="N2" s="4"/>
      <c r="BT2" s="521"/>
      <c r="BU2" s="521"/>
      <c r="BV2" s="521"/>
      <c r="BW2" s="521"/>
      <c r="BX2" s="522"/>
      <c r="BY2" s="522"/>
      <c r="BZ2" s="522"/>
      <c r="CA2" s="522"/>
      <c r="CD2" s="521"/>
      <c r="CE2" s="521"/>
      <c r="CF2" s="521"/>
    </row>
    <row r="3" spans="1:84" ht="15" customHeight="1" x14ac:dyDescent="0.2">
      <c r="A3" s="2090" t="s">
        <v>1251</v>
      </c>
      <c r="B3" s="2090"/>
      <c r="C3" s="2090"/>
      <c r="D3" s="2090"/>
      <c r="E3" s="2090"/>
      <c r="F3" s="2090"/>
      <c r="G3" s="2090"/>
      <c r="H3" s="2090"/>
      <c r="I3" s="2090"/>
      <c r="J3" s="441"/>
      <c r="K3" s="441"/>
      <c r="L3" s="4"/>
      <c r="M3" s="4"/>
      <c r="N3" s="4"/>
      <c r="BT3" s="521"/>
      <c r="BU3" s="521"/>
      <c r="BV3" s="521"/>
      <c r="BW3" s="521"/>
      <c r="BX3" s="522"/>
      <c r="BY3" s="522"/>
      <c r="BZ3" s="522"/>
      <c r="CA3" s="522"/>
      <c r="CD3" s="521"/>
      <c r="CE3" s="521"/>
      <c r="CF3" s="521"/>
    </row>
    <row r="4" spans="1:84" ht="12" customHeight="1" x14ac:dyDescent="0.2">
      <c r="A4" s="4"/>
      <c r="B4" s="4"/>
      <c r="C4" s="4"/>
      <c r="D4" s="4"/>
      <c r="E4" s="4"/>
      <c r="F4" s="4"/>
      <c r="G4" s="4"/>
      <c r="H4" s="4"/>
      <c r="I4" s="4"/>
      <c r="J4" s="8"/>
      <c r="K4" s="8"/>
      <c r="L4" s="4"/>
      <c r="M4" s="4"/>
      <c r="N4" s="4"/>
      <c r="S4" s="521" t="s">
        <v>504</v>
      </c>
      <c r="BT4" s="521"/>
      <c r="BU4" s="521"/>
      <c r="BV4" s="521"/>
      <c r="BW4" s="521"/>
      <c r="BX4" s="522"/>
      <c r="BY4" s="522"/>
      <c r="BZ4" s="522"/>
      <c r="CA4" s="522"/>
      <c r="CD4" s="521"/>
      <c r="CE4" s="521"/>
      <c r="CF4" s="521"/>
    </row>
    <row r="5" spans="1:84" ht="20.25" customHeight="1" x14ac:dyDescent="0.2">
      <c r="A5" s="9" t="s">
        <v>1112</v>
      </c>
      <c r="B5" s="30"/>
      <c r="C5" s="1234"/>
      <c r="D5" s="10" t="s">
        <v>19</v>
      </c>
      <c r="E5" s="323"/>
      <c r="F5" s="11"/>
      <c r="G5" s="1090"/>
      <c r="H5" s="13" t="s">
        <v>400</v>
      </c>
      <c r="I5" s="4"/>
      <c r="J5" s="4"/>
      <c r="K5" s="4"/>
      <c r="L5" s="4"/>
      <c r="M5" s="4"/>
      <c r="N5" s="4"/>
      <c r="P5" s="521" t="s">
        <v>928</v>
      </c>
      <c r="S5" s="628">
        <f>+B5</f>
        <v>0</v>
      </c>
      <c r="T5" s="521" t="str">
        <f>LEFT(S5,3)</f>
        <v>0</v>
      </c>
      <c r="U5" s="521">
        <f>IF(T5=Niederschläge!A2:A97,Niederschläge!D2:D97,0)</f>
        <v>0</v>
      </c>
      <c r="W5" s="521">
        <v>2018</v>
      </c>
      <c r="X5" s="521">
        <v>1</v>
      </c>
      <c r="BT5" s="521"/>
      <c r="BU5" s="521"/>
      <c r="BV5" s="521"/>
      <c r="BW5" s="521"/>
      <c r="BX5" s="522"/>
      <c r="BY5" s="522"/>
      <c r="BZ5" s="522"/>
      <c r="CA5" s="522"/>
      <c r="CD5" s="521"/>
      <c r="CE5" s="521"/>
      <c r="CF5" s="521"/>
    </row>
    <row r="6" spans="1:84" ht="20.25" customHeight="1" x14ac:dyDescent="0.2">
      <c r="A6" s="9" t="s">
        <v>15</v>
      </c>
      <c r="B6" s="2088"/>
      <c r="C6" s="2088"/>
      <c r="D6" s="2089"/>
      <c r="E6" s="2089"/>
      <c r="F6" s="349"/>
      <c r="G6" s="1090"/>
      <c r="H6" s="13" t="s">
        <v>24</v>
      </c>
      <c r="I6" s="4"/>
      <c r="J6" s="4"/>
      <c r="K6" s="4"/>
      <c r="L6" s="4"/>
      <c r="M6" s="4"/>
      <c r="N6" s="4"/>
      <c r="P6" s="521">
        <f>+G5-H7-H8-H10-H11</f>
        <v>0</v>
      </c>
      <c r="Q6" s="521" t="s">
        <v>392</v>
      </c>
      <c r="W6" s="521">
        <v>2019</v>
      </c>
      <c r="BT6" s="521"/>
      <c r="BU6" s="521"/>
      <c r="BV6" s="521"/>
      <c r="BW6" s="521"/>
      <c r="BX6" s="522"/>
      <c r="BY6" s="522"/>
      <c r="BZ6" s="522"/>
      <c r="CA6" s="522"/>
      <c r="CD6" s="521"/>
      <c r="CE6" s="521"/>
      <c r="CF6" s="521"/>
    </row>
    <row r="7" spans="1:84" ht="20.25" customHeight="1" x14ac:dyDescent="0.2">
      <c r="A7" s="9" t="s">
        <v>16</v>
      </c>
      <c r="B7" s="2085"/>
      <c r="C7" s="2085"/>
      <c r="D7" s="2086"/>
      <c r="E7" s="2086"/>
      <c r="F7" s="349"/>
      <c r="G7" s="1091"/>
      <c r="H7" s="1586"/>
      <c r="I7" s="1117" t="s">
        <v>950</v>
      </c>
      <c r="J7" s="4"/>
      <c r="K7" s="4"/>
      <c r="L7" s="4"/>
      <c r="M7" s="4"/>
      <c r="N7" s="4"/>
      <c r="P7" s="521">
        <f>IF(P6=0,0,((G45+AE336+AG336)*-1)*1000/P6)</f>
        <v>0</v>
      </c>
      <c r="Q7" s="521" t="s">
        <v>929</v>
      </c>
      <c r="W7" s="521">
        <v>2020</v>
      </c>
      <c r="BT7" s="521"/>
      <c r="BU7" s="521"/>
      <c r="BV7" s="521"/>
      <c r="BW7" s="521"/>
      <c r="BX7" s="522"/>
      <c r="BY7" s="522"/>
      <c r="BZ7" s="522"/>
      <c r="CA7" s="522"/>
      <c r="CD7" s="521"/>
      <c r="CE7" s="521"/>
      <c r="CF7" s="521"/>
    </row>
    <row r="8" spans="1:84" ht="20.25" customHeight="1" x14ac:dyDescent="0.2">
      <c r="A8" s="9" t="s">
        <v>17</v>
      </c>
      <c r="B8" s="2085"/>
      <c r="C8" s="2085"/>
      <c r="D8" s="2086"/>
      <c r="E8" s="2086"/>
      <c r="F8" s="349"/>
      <c r="G8" s="1091"/>
      <c r="H8" s="1092"/>
      <c r="I8" s="13" t="s">
        <v>951</v>
      </c>
      <c r="J8" s="4"/>
      <c r="K8" s="4"/>
      <c r="L8" s="4"/>
      <c r="M8" s="4"/>
      <c r="N8" s="4"/>
      <c r="BT8" s="521"/>
      <c r="BU8" s="521"/>
      <c r="BV8" s="521"/>
      <c r="BW8" s="521"/>
      <c r="BX8" s="522"/>
      <c r="BY8" s="522"/>
      <c r="BZ8" s="522"/>
      <c r="CA8" s="522"/>
      <c r="CD8" s="521"/>
      <c r="CE8" s="521"/>
      <c r="CF8" s="521"/>
    </row>
    <row r="9" spans="1:84" ht="20.25" customHeight="1" x14ac:dyDescent="0.2">
      <c r="A9" s="9" t="s">
        <v>18</v>
      </c>
      <c r="B9" s="2085"/>
      <c r="C9" s="2085"/>
      <c r="D9" s="2086"/>
      <c r="E9" s="2086"/>
      <c r="F9" s="349"/>
      <c r="G9" s="1090"/>
      <c r="H9" s="13" t="s">
        <v>25</v>
      </c>
      <c r="I9" s="4"/>
      <c r="J9" s="4"/>
      <c r="K9" s="4"/>
      <c r="L9" s="4"/>
      <c r="M9" s="4"/>
      <c r="N9" s="4"/>
      <c r="BT9" s="521"/>
      <c r="BU9" s="521"/>
      <c r="BV9" s="521"/>
      <c r="BW9" s="521"/>
      <c r="BX9" s="522"/>
      <c r="BY9" s="522"/>
      <c r="BZ9" s="522"/>
      <c r="CA9" s="522"/>
      <c r="CD9" s="521"/>
      <c r="CE9" s="521"/>
      <c r="CF9" s="521"/>
    </row>
    <row r="10" spans="1:84" ht="18.75" customHeight="1" x14ac:dyDescent="0.2">
      <c r="A10" s="9"/>
      <c r="B10" s="506" t="str">
        <f>IF((F41+F42)&gt;0,IF(G5&lt;0.001,"Flächenangaben nicht plausibel"," ")," ")</f>
        <v xml:space="preserve"> </v>
      </c>
      <c r="C10" s="506"/>
      <c r="D10" s="349"/>
      <c r="E10" s="349"/>
      <c r="F10" s="349"/>
      <c r="G10" s="4"/>
      <c r="H10" s="1586"/>
      <c r="I10" s="1117" t="s">
        <v>950</v>
      </c>
      <c r="J10" s="4"/>
      <c r="K10" s="4"/>
      <c r="L10" s="4"/>
      <c r="M10" s="4"/>
      <c r="N10" s="4"/>
      <c r="BT10" s="521"/>
      <c r="BU10" s="521"/>
      <c r="BV10" s="521"/>
      <c r="BW10" s="521"/>
      <c r="BX10" s="522"/>
      <c r="BY10" s="522"/>
      <c r="BZ10" s="522"/>
      <c r="CA10" s="522"/>
      <c r="CD10" s="521"/>
      <c r="CE10" s="521"/>
      <c r="CF10" s="521"/>
    </row>
    <row r="11" spans="1:84" ht="18.75" customHeight="1" x14ac:dyDescent="0.2">
      <c r="A11" s="458"/>
      <c r="B11" s="506" t="str">
        <f>IF(BL88=2,IF(B12&lt;3000,"Milchleistung nicht plausibel"," ")," ")</f>
        <v xml:space="preserve"> </v>
      </c>
      <c r="C11" s="506"/>
      <c r="D11" s="505"/>
      <c r="E11" s="505"/>
      <c r="F11" s="505"/>
      <c r="G11" s="4"/>
      <c r="H11" s="1092"/>
      <c r="I11" s="13" t="s">
        <v>951</v>
      </c>
      <c r="J11" s="4"/>
      <c r="K11" s="4"/>
      <c r="L11" s="4"/>
      <c r="M11" s="4"/>
      <c r="N11" s="4"/>
      <c r="U11" s="521" t="s">
        <v>219</v>
      </c>
      <c r="BT11" s="521"/>
      <c r="BU11" s="521"/>
      <c r="BV11" s="521"/>
      <c r="BW11" s="521"/>
      <c r="BX11" s="522"/>
      <c r="BY11" s="522"/>
      <c r="BZ11" s="522"/>
      <c r="CA11" s="522"/>
      <c r="CD11" s="521"/>
      <c r="CE11" s="521"/>
      <c r="CF11" s="521"/>
    </row>
    <row r="12" spans="1:84" ht="20.25" customHeight="1" thickBot="1" x14ac:dyDescent="0.25">
      <c r="A12" s="9" t="s">
        <v>20</v>
      </c>
      <c r="B12" s="15"/>
      <c r="C12" s="4" t="s">
        <v>21</v>
      </c>
      <c r="D12" s="4"/>
      <c r="E12" s="4"/>
      <c r="F12" s="458"/>
      <c r="G12" s="12"/>
      <c r="H12" s="2052" t="s">
        <v>387</v>
      </c>
      <c r="I12" s="2053"/>
      <c r="J12" s="2053"/>
      <c r="K12" s="2053"/>
      <c r="L12" s="2053"/>
      <c r="M12" s="2053"/>
      <c r="N12" s="4"/>
      <c r="BT12" s="521"/>
      <c r="BU12" s="521"/>
      <c r="BV12" s="521"/>
      <c r="BW12" s="521"/>
      <c r="BX12" s="522"/>
      <c r="BY12" s="522"/>
      <c r="BZ12" s="522"/>
      <c r="CA12" s="522"/>
      <c r="CD12" s="521"/>
      <c r="CE12" s="521"/>
      <c r="CF12" s="521"/>
    </row>
    <row r="13" spans="1:84" ht="20.25" customHeight="1" thickBot="1" x14ac:dyDescent="0.25">
      <c r="A13" s="9" t="s">
        <v>26</v>
      </c>
      <c r="B13" s="400"/>
      <c r="C13" s="632">
        <f>IF(B13&gt;0,B13,+Niederschläge!L98)</f>
        <v>0</v>
      </c>
      <c r="D13" s="629" t="s">
        <v>560</v>
      </c>
      <c r="E13" s="629"/>
      <c r="F13" s="4"/>
      <c r="G13" s="20"/>
      <c r="H13" s="2091" t="s">
        <v>383</v>
      </c>
      <c r="I13" s="2091"/>
      <c r="J13" s="2091"/>
      <c r="K13" s="2091"/>
      <c r="L13" s="2091"/>
      <c r="M13" s="2091"/>
      <c r="N13" s="4"/>
      <c r="Q13" s="523" t="s">
        <v>341</v>
      </c>
      <c r="W13" s="524">
        <f>IF(Z13=1,0,100)</f>
        <v>0</v>
      </c>
      <c r="Z13" s="521">
        <v>1</v>
      </c>
      <c r="AA13" s="525" t="s">
        <v>378</v>
      </c>
      <c r="BG13" s="526">
        <f>IF(G5=0,0,+(G9-H11)/(G5-H8-H11))</f>
        <v>0</v>
      </c>
      <c r="BH13" s="526"/>
      <c r="BI13" s="526"/>
      <c r="BJ13" s="521" t="s">
        <v>27</v>
      </c>
      <c r="BT13" s="521"/>
      <c r="BU13" s="521"/>
      <c r="BV13" s="521"/>
      <c r="BW13" s="521"/>
      <c r="BX13" s="522"/>
      <c r="BY13" s="522"/>
      <c r="BZ13" s="522"/>
      <c r="CA13" s="522"/>
      <c r="CD13" s="521"/>
      <c r="CE13" s="521"/>
      <c r="CF13" s="521"/>
    </row>
    <row r="14" spans="1:84" ht="6" customHeight="1" x14ac:dyDescent="0.2">
      <c r="A14" s="406"/>
      <c r="B14" s="406"/>
      <c r="C14" s="406"/>
      <c r="D14" s="406"/>
      <c r="E14" s="406"/>
      <c r="F14" s="406"/>
      <c r="G14" s="4"/>
      <c r="H14" s="4"/>
      <c r="I14" s="4"/>
      <c r="J14" s="4"/>
      <c r="K14" s="4"/>
      <c r="L14" s="4"/>
      <c r="M14" s="4"/>
      <c r="N14" s="4"/>
      <c r="AA14" s="525" t="s">
        <v>377</v>
      </c>
      <c r="BT14" s="521"/>
      <c r="BU14" s="521"/>
      <c r="BV14" s="521"/>
      <c r="BW14" s="521"/>
      <c r="BX14" s="522"/>
      <c r="BY14" s="522"/>
      <c r="BZ14" s="522"/>
      <c r="CA14" s="522"/>
      <c r="CD14" s="521"/>
      <c r="CE14" s="521"/>
      <c r="CF14" s="521"/>
    </row>
    <row r="15" spans="1:84" ht="17.25" customHeight="1" x14ac:dyDescent="0.2">
      <c r="A15" s="441"/>
      <c r="B15" s="4"/>
      <c r="C15" s="420"/>
      <c r="D15" s="4"/>
      <c r="E15" s="4"/>
      <c r="F15" s="4"/>
      <c r="G15" s="1089" t="str">
        <f>IF(G6+G9&lt;&gt;G5,"Flächenangaben nicht plausibel",IF(H8+H7&gt;G6,"Flächenangaben nicht plausibel",IF(H10+H11&gt;G9,"Flächenangaben nicht plausibel"," ")))</f>
        <v xml:space="preserve"> </v>
      </c>
      <c r="H15" s="4"/>
      <c r="I15" s="4"/>
      <c r="J15" s="4"/>
      <c r="K15" s="4"/>
      <c r="L15" s="4"/>
      <c r="M15" s="4"/>
      <c r="N15" s="4"/>
      <c r="BT15" s="521"/>
      <c r="BU15" s="521"/>
      <c r="BV15" s="521"/>
      <c r="BW15" s="521"/>
      <c r="BX15" s="522"/>
      <c r="BY15" s="522"/>
      <c r="BZ15" s="522"/>
      <c r="CA15" s="522"/>
      <c r="CD15" s="521"/>
      <c r="CE15" s="521"/>
      <c r="CF15" s="521"/>
    </row>
    <row r="16" spans="1:84" ht="16.5" customHeight="1" x14ac:dyDescent="0.2">
      <c r="A16" s="698" t="s">
        <v>1111</v>
      </c>
      <c r="B16" s="698"/>
      <c r="C16" s="698"/>
      <c r="D16" s="698"/>
      <c r="E16" s="698"/>
      <c r="F16" s="698"/>
      <c r="G16" s="698"/>
      <c r="H16" s="698"/>
      <c r="I16" s="698"/>
      <c r="J16" s="698"/>
      <c r="K16" s="698"/>
      <c r="L16" s="698"/>
      <c r="M16" s="645"/>
      <c r="N16" s="4"/>
      <c r="BT16" s="521"/>
      <c r="BU16" s="521"/>
      <c r="BV16" s="521"/>
      <c r="BW16" s="521"/>
      <c r="BX16" s="522"/>
      <c r="BY16" s="522"/>
      <c r="BZ16" s="522"/>
      <c r="CA16" s="522"/>
      <c r="CD16" s="521"/>
      <c r="CE16" s="521"/>
      <c r="CF16" s="521"/>
    </row>
    <row r="17" spans="1:84" ht="12.75" customHeight="1" x14ac:dyDescent="0.2">
      <c r="A17" s="441"/>
      <c r="B17" s="420"/>
      <c r="C17" s="420"/>
      <c r="D17" s="4"/>
      <c r="E17" s="4"/>
      <c r="F17" s="4"/>
      <c r="G17" s="4"/>
      <c r="H17" s="4"/>
      <c r="I17" s="4"/>
      <c r="J17" s="4"/>
      <c r="K17" s="4"/>
      <c r="L17" s="4"/>
      <c r="M17" s="4"/>
      <c r="N17" s="4"/>
      <c r="BT17" s="521"/>
      <c r="BU17" s="521"/>
      <c r="BV17" s="521"/>
      <c r="BW17" s="521"/>
      <c r="BX17" s="522"/>
      <c r="BY17" s="522"/>
      <c r="BZ17" s="522"/>
      <c r="CA17" s="522"/>
      <c r="CD17" s="521"/>
      <c r="CE17" s="521"/>
      <c r="CF17" s="521"/>
    </row>
    <row r="18" spans="1:84" ht="12" customHeight="1" x14ac:dyDescent="0.2">
      <c r="A18" s="420"/>
      <c r="B18" s="4"/>
      <c r="C18" s="4"/>
      <c r="D18" s="4"/>
      <c r="E18" s="4"/>
      <c r="F18" s="4"/>
      <c r="G18" s="4"/>
      <c r="H18" s="4"/>
      <c r="I18" s="4"/>
      <c r="J18" s="4"/>
      <c r="K18" s="4"/>
      <c r="L18" s="4"/>
      <c r="M18" s="4"/>
      <c r="N18" s="4"/>
      <c r="BT18" s="521"/>
      <c r="BU18" s="521"/>
      <c r="BV18" s="521"/>
      <c r="BW18" s="521"/>
      <c r="BX18" s="522"/>
      <c r="BY18" s="522"/>
      <c r="BZ18" s="522"/>
      <c r="CA18" s="522"/>
      <c r="CD18" s="521"/>
      <c r="CE18" s="521"/>
      <c r="CF18" s="521"/>
    </row>
    <row r="19" spans="1:84" ht="12" customHeight="1" x14ac:dyDescent="0.2">
      <c r="A19" s="420"/>
      <c r="B19" s="4"/>
      <c r="C19" s="4"/>
      <c r="D19" s="4"/>
      <c r="E19" s="4"/>
      <c r="F19" s="4"/>
      <c r="G19" s="4"/>
      <c r="H19" s="4"/>
      <c r="I19" s="4"/>
      <c r="J19" s="4"/>
      <c r="K19" s="4"/>
      <c r="L19" s="4"/>
      <c r="M19" s="4"/>
      <c r="N19" s="4"/>
      <c r="T19" s="650"/>
      <c r="U19" s="650"/>
      <c r="BT19" s="521"/>
      <c r="BU19" s="521"/>
      <c r="BV19" s="521"/>
      <c r="BW19" s="521"/>
      <c r="BX19" s="522"/>
      <c r="BY19" s="522"/>
      <c r="BZ19" s="522"/>
      <c r="CA19" s="522"/>
      <c r="CD19" s="521"/>
      <c r="CE19" s="521"/>
      <c r="CF19" s="521"/>
    </row>
    <row r="20" spans="1:84" ht="12" customHeight="1" x14ac:dyDescent="0.2">
      <c r="A20" s="420"/>
      <c r="B20" s="4"/>
      <c r="C20" s="4"/>
      <c r="D20" s="4"/>
      <c r="E20" s="4"/>
      <c r="F20" s="4"/>
      <c r="G20" s="4"/>
      <c r="H20" s="4"/>
      <c r="I20" s="4"/>
      <c r="J20" s="4"/>
      <c r="K20" s="4"/>
      <c r="L20" s="4"/>
      <c r="M20" s="4"/>
      <c r="N20" s="4"/>
      <c r="T20" s="650"/>
      <c r="U20" s="650"/>
      <c r="BT20" s="521"/>
      <c r="BU20" s="521"/>
      <c r="BV20" s="521"/>
      <c r="BW20" s="521"/>
      <c r="BX20" s="522"/>
      <c r="BY20" s="522"/>
      <c r="BZ20" s="522"/>
      <c r="CA20" s="522"/>
      <c r="CD20" s="521"/>
      <c r="CE20" s="521"/>
      <c r="CF20" s="521"/>
    </row>
    <row r="21" spans="1:84" ht="12" customHeight="1" x14ac:dyDescent="0.2">
      <c r="A21" s="420"/>
      <c r="B21" s="4"/>
      <c r="C21" s="656"/>
      <c r="D21" s="656"/>
      <c r="E21" s="656"/>
      <c r="F21" s="656"/>
      <c r="G21" s="4"/>
      <c r="H21" s="4"/>
      <c r="I21" s="4"/>
      <c r="J21" s="4"/>
      <c r="K21" s="4"/>
      <c r="L21" s="4"/>
      <c r="M21" s="4"/>
      <c r="N21" s="4"/>
      <c r="T21" s="650"/>
      <c r="BT21" s="521"/>
      <c r="BU21" s="521"/>
      <c r="BV21" s="521"/>
      <c r="BW21" s="521"/>
      <c r="BX21" s="522"/>
      <c r="BY21" s="522"/>
      <c r="BZ21" s="522"/>
      <c r="CA21" s="522"/>
      <c r="CD21" s="521"/>
      <c r="CE21" s="521"/>
      <c r="CF21" s="521"/>
    </row>
    <row r="22" spans="1:84" ht="12" customHeight="1" x14ac:dyDescent="0.2">
      <c r="A22" s="420"/>
      <c r="B22" s="4"/>
      <c r="C22" s="656"/>
      <c r="D22" s="654" t="s">
        <v>524</v>
      </c>
      <c r="E22" s="1093">
        <f>+F41</f>
        <v>0</v>
      </c>
      <c r="F22" s="655" t="s">
        <v>1061</v>
      </c>
      <c r="G22" s="4"/>
      <c r="H22" s="4"/>
      <c r="I22" s="4"/>
      <c r="J22" s="4"/>
      <c r="K22" s="4"/>
      <c r="L22" s="4"/>
      <c r="M22" s="4"/>
      <c r="N22" s="4"/>
      <c r="T22" s="650"/>
      <c r="BT22" s="521"/>
      <c r="BU22" s="521"/>
      <c r="BV22" s="521"/>
      <c r="BW22" s="521"/>
      <c r="BX22" s="522"/>
      <c r="BY22" s="522"/>
      <c r="BZ22" s="522"/>
      <c r="CA22" s="522"/>
      <c r="CD22" s="521"/>
      <c r="CE22" s="521"/>
      <c r="CF22" s="521"/>
    </row>
    <row r="23" spans="1:84" ht="12" customHeight="1" x14ac:dyDescent="0.2">
      <c r="A23" s="420"/>
      <c r="B23" s="4"/>
      <c r="C23" s="656"/>
      <c r="D23" s="654" t="s">
        <v>525</v>
      </c>
      <c r="E23" s="1094">
        <f>IF(F41=0,0,J41/F41*100)</f>
        <v>0</v>
      </c>
      <c r="F23" s="655" t="s">
        <v>2</v>
      </c>
      <c r="G23" s="4"/>
      <c r="H23" s="4"/>
      <c r="I23" s="4"/>
      <c r="J23" s="4"/>
      <c r="K23" s="4"/>
      <c r="L23" s="4"/>
      <c r="M23" s="4"/>
      <c r="N23" s="4"/>
      <c r="T23" s="650"/>
      <c r="BT23" s="521"/>
      <c r="BU23" s="521"/>
      <c r="BV23" s="521"/>
      <c r="BW23" s="521"/>
      <c r="BX23" s="522"/>
      <c r="BY23" s="522"/>
      <c r="BZ23" s="522"/>
      <c r="CA23" s="522"/>
      <c r="CD23" s="521"/>
      <c r="CE23" s="521"/>
      <c r="CF23" s="521"/>
    </row>
    <row r="24" spans="1:84" ht="12" customHeight="1" x14ac:dyDescent="0.2">
      <c r="A24" s="420"/>
      <c r="B24" s="4"/>
      <c r="C24" s="656"/>
      <c r="D24" s="1235" t="s">
        <v>526</v>
      </c>
      <c r="E24" s="1094">
        <f>IF(F41=0,0,G41/F41*1000)</f>
        <v>0</v>
      </c>
      <c r="F24" s="2173" t="s">
        <v>1062</v>
      </c>
      <c r="G24" s="4"/>
      <c r="H24" s="4"/>
      <c r="I24" s="4"/>
      <c r="J24" s="4"/>
      <c r="K24" s="4"/>
      <c r="L24" s="4"/>
      <c r="M24" s="4"/>
      <c r="N24" s="4"/>
      <c r="T24" s="650"/>
      <c r="BT24" s="521"/>
      <c r="BU24" s="521"/>
      <c r="BV24" s="521"/>
      <c r="BW24" s="521"/>
      <c r="BX24" s="522"/>
      <c r="BY24" s="522"/>
      <c r="BZ24" s="522"/>
      <c r="CA24" s="522"/>
      <c r="CD24" s="521"/>
      <c r="CE24" s="521"/>
      <c r="CF24" s="521"/>
    </row>
    <row r="25" spans="1:84" ht="12" customHeight="1" x14ac:dyDescent="0.2">
      <c r="A25" s="420"/>
      <c r="B25" s="4"/>
      <c r="C25" s="656"/>
      <c r="D25" s="1235" t="s">
        <v>1032</v>
      </c>
      <c r="E25" s="1094">
        <f>+E24*T34</f>
        <v>0</v>
      </c>
      <c r="F25" s="2173"/>
      <c r="G25" s="4"/>
      <c r="H25" s="4"/>
      <c r="I25" s="4"/>
      <c r="J25" s="4"/>
      <c r="K25" s="4"/>
      <c r="L25" s="4"/>
      <c r="M25" s="4"/>
      <c r="N25" s="4"/>
      <c r="BT25" s="521"/>
      <c r="BU25" s="521"/>
      <c r="BV25" s="521"/>
      <c r="BW25" s="521"/>
      <c r="BX25" s="522"/>
      <c r="BY25" s="522"/>
      <c r="BZ25" s="522"/>
      <c r="CA25" s="522"/>
      <c r="CD25" s="521"/>
      <c r="CE25" s="521"/>
      <c r="CF25" s="521"/>
    </row>
    <row r="26" spans="1:84" ht="12" customHeight="1" x14ac:dyDescent="0.2">
      <c r="A26" s="420"/>
      <c r="B26" s="4"/>
      <c r="C26" s="656"/>
      <c r="D26" s="1235" t="s">
        <v>1033</v>
      </c>
      <c r="E26" s="1094">
        <f>IF(F41=0,0,H41/F41*1000)</f>
        <v>0</v>
      </c>
      <c r="F26" s="2173"/>
      <c r="G26" s="4"/>
      <c r="H26" s="4"/>
      <c r="I26" s="4"/>
      <c r="J26" s="4"/>
      <c r="K26" s="4"/>
      <c r="L26" s="4"/>
      <c r="M26" s="4"/>
      <c r="N26" s="4"/>
      <c r="BT26" s="521"/>
      <c r="BU26" s="521"/>
      <c r="BV26" s="521"/>
      <c r="BW26" s="521"/>
      <c r="BX26" s="522"/>
      <c r="BY26" s="522"/>
      <c r="BZ26" s="522"/>
      <c r="CA26" s="522"/>
      <c r="CD26" s="521"/>
      <c r="CE26" s="521"/>
      <c r="CF26" s="521"/>
    </row>
    <row r="27" spans="1:84" ht="12" customHeight="1" x14ac:dyDescent="0.2">
      <c r="A27" s="420"/>
      <c r="B27" s="4"/>
      <c r="C27" s="656"/>
      <c r="D27" s="1235" t="s">
        <v>1034</v>
      </c>
      <c r="E27" s="1094">
        <f>IF(F41=0,0,I41/F41*1000)</f>
        <v>0</v>
      </c>
      <c r="F27" s="2173"/>
      <c r="G27" s="4"/>
      <c r="H27" s="4"/>
      <c r="I27" s="4"/>
      <c r="J27" s="4"/>
      <c r="K27" s="4"/>
      <c r="L27" s="4"/>
      <c r="M27" s="4"/>
      <c r="N27" s="4"/>
      <c r="BT27" s="521"/>
      <c r="BU27" s="521"/>
      <c r="BV27" s="521"/>
      <c r="BW27" s="521"/>
      <c r="BX27" s="522"/>
      <c r="BY27" s="522"/>
      <c r="BZ27" s="522"/>
      <c r="CA27" s="522"/>
      <c r="CD27" s="521"/>
      <c r="CE27" s="521"/>
      <c r="CF27" s="521"/>
    </row>
    <row r="28" spans="1:84" ht="9" customHeight="1" x14ac:dyDescent="0.2">
      <c r="A28" s="420"/>
      <c r="B28" s="4"/>
      <c r="C28" s="4"/>
      <c r="D28" s="4"/>
      <c r="E28" s="4"/>
      <c r="F28" s="4"/>
      <c r="G28" s="4"/>
      <c r="H28" s="4"/>
      <c r="I28" s="4"/>
      <c r="J28" s="4"/>
      <c r="K28" s="4"/>
      <c r="L28" s="4"/>
      <c r="M28" s="4"/>
      <c r="N28" s="4"/>
      <c r="BT28" s="521"/>
      <c r="BU28" s="521"/>
      <c r="BV28" s="521"/>
      <c r="BW28" s="521"/>
      <c r="BX28" s="522"/>
      <c r="BY28" s="522"/>
      <c r="BZ28" s="522"/>
      <c r="CA28" s="522"/>
      <c r="CD28" s="521"/>
      <c r="CE28" s="521"/>
      <c r="CF28" s="521"/>
    </row>
    <row r="29" spans="1:84" ht="7.5" customHeight="1" x14ac:dyDescent="0.2">
      <c r="A29" s="441"/>
      <c r="B29" s="420"/>
      <c r="C29" s="420"/>
      <c r="D29" s="4"/>
      <c r="E29" s="4"/>
      <c r="F29" s="4"/>
      <c r="G29" s="4"/>
      <c r="H29" s="4"/>
      <c r="I29" s="4"/>
      <c r="J29" s="4"/>
      <c r="K29" s="4"/>
      <c r="L29" s="4"/>
      <c r="M29" s="4"/>
      <c r="N29" s="4"/>
      <c r="BT29" s="521"/>
      <c r="BU29" s="521"/>
      <c r="BV29" s="521"/>
      <c r="BW29" s="521"/>
      <c r="BX29" s="522"/>
      <c r="BY29" s="522"/>
      <c r="BZ29" s="522"/>
      <c r="CA29" s="522"/>
      <c r="CD29" s="521"/>
      <c r="CE29" s="521"/>
      <c r="CF29" s="521"/>
    </row>
    <row r="30" spans="1:84" ht="3" customHeight="1" thickBot="1" x14ac:dyDescent="0.25">
      <c r="A30" s="441"/>
      <c r="B30" s="420"/>
      <c r="C30" s="420"/>
      <c r="D30" s="4"/>
      <c r="E30" s="4"/>
      <c r="F30" s="4"/>
      <c r="G30" s="4"/>
      <c r="H30" s="4"/>
      <c r="I30" s="4"/>
      <c r="J30" s="4"/>
      <c r="K30" s="4"/>
      <c r="L30" s="4"/>
      <c r="M30" s="4"/>
      <c r="N30" s="4"/>
      <c r="AD30" s="521">
        <v>3</v>
      </c>
      <c r="BT30" s="521"/>
      <c r="BU30" s="521"/>
      <c r="BV30" s="521"/>
      <c r="BW30" s="521"/>
      <c r="BX30" s="522"/>
      <c r="BY30" s="522"/>
      <c r="BZ30" s="522"/>
      <c r="CA30" s="522"/>
      <c r="CD30" s="521"/>
      <c r="CE30" s="521"/>
      <c r="CF30" s="521"/>
    </row>
    <row r="31" spans="1:84" s="414" customFormat="1" ht="12.75" customHeight="1" x14ac:dyDescent="0.2">
      <c r="A31" s="1471"/>
      <c r="B31" s="1473"/>
      <c r="C31" s="1473"/>
      <c r="D31" s="1472"/>
      <c r="E31" s="1474"/>
      <c r="F31" s="1475" t="s">
        <v>355</v>
      </c>
      <c r="G31" s="2174" t="s">
        <v>519</v>
      </c>
      <c r="H31" s="2092"/>
      <c r="I31" s="2092"/>
      <c r="J31" s="2166" t="s">
        <v>221</v>
      </c>
      <c r="K31" s="2167"/>
      <c r="L31" s="2092" t="s">
        <v>357</v>
      </c>
      <c r="M31" s="2093"/>
      <c r="N31" s="1236"/>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c r="BN31" s="612"/>
      <c r="BO31" s="612"/>
      <c r="BP31" s="612"/>
      <c r="BQ31" s="612"/>
      <c r="BR31" s="612"/>
      <c r="BS31" s="612"/>
      <c r="BT31" s="612"/>
      <c r="BU31" s="612"/>
      <c r="BV31" s="612"/>
      <c r="BW31" s="612"/>
      <c r="BX31" s="649"/>
      <c r="BY31" s="649"/>
      <c r="BZ31" s="649"/>
      <c r="CA31" s="649"/>
      <c r="CB31" s="612"/>
      <c r="CC31" s="612"/>
      <c r="CD31" s="612"/>
      <c r="CE31" s="612"/>
      <c r="CF31" s="612"/>
    </row>
    <row r="32" spans="1:84" s="646" customFormat="1" ht="15" customHeight="1" x14ac:dyDescent="0.2">
      <c r="A32" s="1476" t="s">
        <v>527</v>
      </c>
      <c r="B32" s="1477"/>
      <c r="C32" s="1477"/>
      <c r="D32" s="1478"/>
      <c r="E32" s="1479"/>
      <c r="F32" s="1480" t="s">
        <v>40</v>
      </c>
      <c r="G32" s="1481" t="s">
        <v>4</v>
      </c>
      <c r="H32" s="1482" t="s">
        <v>1023</v>
      </c>
      <c r="I32" s="1483" t="s">
        <v>1024</v>
      </c>
      <c r="J32" s="1484"/>
      <c r="K32" s="1485"/>
      <c r="L32" s="2179"/>
      <c r="M32" s="2180"/>
      <c r="N32" s="1237"/>
      <c r="P32" s="647" t="s">
        <v>886</v>
      </c>
      <c r="Q32" s="647"/>
      <c r="R32" s="647"/>
      <c r="S32" s="647"/>
      <c r="T32" s="647" t="s">
        <v>996</v>
      </c>
      <c r="U32" s="647"/>
      <c r="V32" s="647"/>
      <c r="W32" s="647"/>
      <c r="X32" s="647"/>
      <c r="Y32" s="647"/>
      <c r="Z32" s="647"/>
      <c r="AA32" s="647"/>
      <c r="AB32" s="647"/>
      <c r="AC32" s="647"/>
      <c r="AD32" s="647"/>
      <c r="AE32" s="647"/>
      <c r="AF32" s="647"/>
      <c r="AG32" s="647"/>
      <c r="AH32" s="647"/>
      <c r="AI32" s="647"/>
      <c r="AJ32" s="647"/>
      <c r="AK32" s="647"/>
      <c r="AL32" s="647"/>
      <c r="AM32" s="647"/>
      <c r="AN32" s="647"/>
      <c r="AO32" s="647"/>
      <c r="AP32" s="647"/>
      <c r="AQ32" s="647"/>
      <c r="AR32" s="647"/>
      <c r="AS32" s="647"/>
      <c r="AT32" s="647"/>
      <c r="AU32" s="647"/>
      <c r="AV32" s="647"/>
      <c r="AW32" s="647"/>
      <c r="AX32" s="647"/>
      <c r="AY32" s="647"/>
      <c r="AZ32" s="647"/>
      <c r="BA32" s="647"/>
      <c r="BB32" s="647"/>
      <c r="BC32" s="647"/>
      <c r="BD32" s="647"/>
      <c r="BE32" s="647"/>
      <c r="BF32" s="647"/>
      <c r="BG32" s="647"/>
      <c r="BH32" s="647"/>
      <c r="BI32" s="647"/>
      <c r="BJ32" s="647"/>
      <c r="BK32" s="647"/>
      <c r="BL32" s="647"/>
      <c r="BM32" s="647"/>
      <c r="BN32" s="647"/>
      <c r="BO32" s="647"/>
      <c r="BP32" s="647"/>
      <c r="BQ32" s="647"/>
      <c r="BR32" s="647"/>
      <c r="BS32" s="647"/>
      <c r="BT32" s="647"/>
      <c r="BU32" s="647"/>
      <c r="BV32" s="647"/>
      <c r="BW32" s="647"/>
      <c r="BX32" s="648"/>
      <c r="BY32" s="648"/>
      <c r="BZ32" s="648"/>
      <c r="CA32" s="648"/>
      <c r="CB32" s="647"/>
      <c r="CC32" s="647"/>
      <c r="CD32" s="647"/>
      <c r="CE32" s="647"/>
      <c r="CF32" s="647"/>
    </row>
    <row r="33" spans="1:84" s="646" customFormat="1" ht="15" customHeight="1" thickBot="1" x14ac:dyDescent="0.25">
      <c r="A33" s="1486"/>
      <c r="B33" s="1487"/>
      <c r="C33" s="1487"/>
      <c r="D33" s="1488"/>
      <c r="E33" s="1489"/>
      <c r="F33" s="1490" t="s">
        <v>520</v>
      </c>
      <c r="G33" s="2163" t="s">
        <v>518</v>
      </c>
      <c r="H33" s="2164"/>
      <c r="I33" s="2164"/>
      <c r="J33" s="2164"/>
      <c r="K33" s="2164"/>
      <c r="L33" s="2164"/>
      <c r="M33" s="2165"/>
      <c r="N33" s="1237"/>
      <c r="P33" s="647"/>
      <c r="Q33" s="647"/>
      <c r="R33" s="647"/>
      <c r="S33" s="647"/>
      <c r="T33" s="647"/>
      <c r="U33" s="647"/>
      <c r="V33" s="647"/>
      <c r="W33" s="647"/>
      <c r="X33" s="647"/>
      <c r="Y33" s="647"/>
      <c r="Z33" s="647"/>
      <c r="AA33" s="647"/>
      <c r="AB33" s="647"/>
      <c r="AC33" s="647"/>
      <c r="AD33" s="647"/>
      <c r="AE33" s="647"/>
      <c r="AF33" s="647"/>
      <c r="AG33" s="647"/>
      <c r="AH33" s="647"/>
      <c r="AI33" s="647"/>
      <c r="AJ33" s="647"/>
      <c r="AK33" s="647"/>
      <c r="AL33" s="647"/>
      <c r="AM33" s="647"/>
      <c r="AN33" s="647"/>
      <c r="AO33" s="647"/>
      <c r="AP33" s="647"/>
      <c r="AQ33" s="647"/>
      <c r="AR33" s="647"/>
      <c r="AS33" s="647"/>
      <c r="AT33" s="647"/>
      <c r="AU33" s="647"/>
      <c r="AV33" s="647"/>
      <c r="AW33" s="647"/>
      <c r="AX33" s="647"/>
      <c r="AY33" s="647"/>
      <c r="AZ33" s="647"/>
      <c r="BA33" s="647"/>
      <c r="BB33" s="647"/>
      <c r="BC33" s="647"/>
      <c r="BD33" s="647"/>
      <c r="BE33" s="647"/>
      <c r="BF33" s="647"/>
      <c r="BG33" s="647"/>
      <c r="BH33" s="647"/>
      <c r="BI33" s="647"/>
      <c r="BJ33" s="647"/>
      <c r="BK33" s="647"/>
      <c r="BL33" s="647"/>
      <c r="BM33" s="647"/>
      <c r="BN33" s="647"/>
      <c r="BO33" s="647"/>
      <c r="BP33" s="647"/>
      <c r="BQ33" s="647"/>
      <c r="BR33" s="647"/>
      <c r="BS33" s="647"/>
      <c r="BT33" s="647"/>
      <c r="BU33" s="647"/>
      <c r="BV33" s="647"/>
      <c r="BW33" s="647"/>
      <c r="BX33" s="648"/>
      <c r="BY33" s="648"/>
      <c r="BZ33" s="648"/>
      <c r="CA33" s="648"/>
      <c r="CB33" s="647"/>
      <c r="CC33" s="647"/>
      <c r="CD33" s="647"/>
      <c r="CE33" s="647"/>
      <c r="CF33" s="647"/>
    </row>
    <row r="34" spans="1:84" s="646" customFormat="1" ht="15" customHeight="1" x14ac:dyDescent="0.2">
      <c r="A34" s="1350" t="s">
        <v>521</v>
      </c>
      <c r="B34" s="1351"/>
      <c r="C34" s="1351"/>
      <c r="D34" s="1352"/>
      <c r="E34" s="1352"/>
      <c r="F34" s="1335">
        <f>SUM(F35:F38)</f>
        <v>0</v>
      </c>
      <c r="G34" s="1361">
        <f>SUM(G35:G37)</f>
        <v>0</v>
      </c>
      <c r="H34" s="1369">
        <f>SUM(H35:H37)</f>
        <v>0</v>
      </c>
      <c r="I34" s="1369">
        <f>SUM(I35:I37)</f>
        <v>0</v>
      </c>
      <c r="J34" s="2168">
        <f>SUM(J35:K37)</f>
        <v>0</v>
      </c>
      <c r="K34" s="2168"/>
      <c r="L34" s="2169">
        <f>SUM(L35:M38)</f>
        <v>0</v>
      </c>
      <c r="M34" s="2170"/>
      <c r="N34" s="1237"/>
      <c r="P34" s="647"/>
      <c r="Q34" s="647"/>
      <c r="R34" s="647"/>
      <c r="S34" s="647" t="s">
        <v>1005</v>
      </c>
      <c r="T34" s="647">
        <f>IF(G34=0,0,(T35*G35+T36*(G36+G37))/G34)</f>
        <v>0</v>
      </c>
      <c r="U34" s="647"/>
      <c r="V34" s="647"/>
      <c r="W34" s="647"/>
      <c r="X34" s="647"/>
      <c r="Y34" s="647"/>
      <c r="Z34" s="647"/>
      <c r="AA34" s="647"/>
      <c r="AB34" s="647"/>
      <c r="AC34" s="647"/>
      <c r="AD34" s="647"/>
      <c r="AE34" s="647"/>
      <c r="AF34" s="647"/>
      <c r="AG34" s="647"/>
      <c r="AH34" s="647"/>
      <c r="AI34" s="647"/>
      <c r="AJ34" s="647"/>
      <c r="AK34" s="647"/>
      <c r="AL34" s="647"/>
      <c r="AM34" s="647"/>
      <c r="AN34" s="647"/>
      <c r="AO34" s="647"/>
      <c r="AP34" s="647"/>
      <c r="AQ34" s="647"/>
      <c r="AR34" s="647"/>
      <c r="AS34" s="647"/>
      <c r="AT34" s="647"/>
      <c r="AU34" s="647"/>
      <c r="AV34" s="647"/>
      <c r="AW34" s="647"/>
      <c r="AX34" s="647"/>
      <c r="AY34" s="647"/>
      <c r="AZ34" s="647"/>
      <c r="BA34" s="647"/>
      <c r="BB34" s="647"/>
      <c r="BC34" s="647"/>
      <c r="BD34" s="647"/>
      <c r="BE34" s="647"/>
      <c r="BF34" s="647"/>
      <c r="BG34" s="647"/>
      <c r="BH34" s="647"/>
      <c r="BI34" s="647"/>
      <c r="BJ34" s="647"/>
      <c r="BK34" s="647"/>
      <c r="BL34" s="647"/>
      <c r="BM34" s="647"/>
      <c r="BN34" s="647"/>
      <c r="BO34" s="647"/>
      <c r="BP34" s="647"/>
      <c r="BQ34" s="647"/>
      <c r="BR34" s="647"/>
      <c r="BS34" s="647"/>
      <c r="BT34" s="647"/>
      <c r="BU34" s="647"/>
      <c r="BV34" s="647"/>
      <c r="BW34" s="647"/>
      <c r="BX34" s="648"/>
      <c r="BY34" s="648"/>
      <c r="BZ34" s="648"/>
      <c r="CA34" s="648"/>
      <c r="CB34" s="647"/>
      <c r="CC34" s="647"/>
      <c r="CD34" s="647"/>
      <c r="CE34" s="647"/>
      <c r="CF34" s="647"/>
    </row>
    <row r="35" spans="1:84" s="408" customFormat="1" ht="10.5" customHeight="1" x14ac:dyDescent="0.2">
      <c r="A35" s="2231" t="s">
        <v>546</v>
      </c>
      <c r="B35" s="2232"/>
      <c r="C35" s="2232"/>
      <c r="D35" s="2232"/>
      <c r="E35" s="2232"/>
      <c r="F35" s="1336">
        <f>+J35+L35</f>
        <v>0</v>
      </c>
      <c r="G35" s="1362">
        <f>+DC88/1000</f>
        <v>0</v>
      </c>
      <c r="H35" s="1370">
        <f>+DD88/1000</f>
        <v>0</v>
      </c>
      <c r="I35" s="1370">
        <f>+DE88/1000</f>
        <v>0</v>
      </c>
      <c r="J35" s="2015">
        <f>+ED88</f>
        <v>0</v>
      </c>
      <c r="K35" s="2015"/>
      <c r="L35" s="2019">
        <f>+EE88</f>
        <v>0</v>
      </c>
      <c r="M35" s="2020"/>
      <c r="N35" s="1"/>
      <c r="P35" s="1083" t="e">
        <f>+J35/F35*100</f>
        <v>#DIV/0!</v>
      </c>
      <c r="Q35" s="530"/>
      <c r="R35" s="530"/>
      <c r="S35" s="530"/>
      <c r="T35" s="530">
        <f>+DI89/100</f>
        <v>0</v>
      </c>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0"/>
      <c r="AR35" s="530"/>
      <c r="AS35" s="530"/>
      <c r="AT35" s="530"/>
      <c r="AU35" s="530"/>
      <c r="AV35" s="530"/>
      <c r="AW35" s="530"/>
      <c r="AX35" s="530"/>
      <c r="AY35" s="530"/>
      <c r="AZ35" s="530"/>
      <c r="BA35" s="530"/>
      <c r="BB35" s="530"/>
      <c r="BC35" s="530"/>
      <c r="BD35" s="530"/>
      <c r="BE35" s="530"/>
      <c r="BF35" s="530"/>
      <c r="BG35" s="530"/>
      <c r="BH35" s="530"/>
      <c r="BI35" s="530"/>
      <c r="BJ35" s="530"/>
      <c r="BK35" s="530"/>
      <c r="BL35" s="530"/>
      <c r="BM35" s="530"/>
      <c r="BN35" s="530"/>
      <c r="BO35" s="530"/>
      <c r="BP35" s="530"/>
      <c r="BQ35" s="530"/>
      <c r="BR35" s="530"/>
      <c r="BS35" s="530"/>
      <c r="BT35" s="530"/>
      <c r="BU35" s="530"/>
      <c r="BV35" s="530"/>
      <c r="BW35" s="530"/>
      <c r="BX35" s="531"/>
      <c r="BY35" s="531"/>
      <c r="BZ35" s="531"/>
      <c r="CA35" s="531"/>
      <c r="CB35" s="530"/>
      <c r="CC35" s="530"/>
      <c r="CD35" s="530"/>
      <c r="CE35" s="530"/>
      <c r="CF35" s="530"/>
    </row>
    <row r="36" spans="1:84" s="408" customFormat="1" ht="10.5" customHeight="1" x14ac:dyDescent="0.2">
      <c r="A36" s="1353" t="s">
        <v>547</v>
      </c>
      <c r="B36" s="1338"/>
      <c r="C36" s="1338"/>
      <c r="D36" s="25"/>
      <c r="E36" s="25"/>
      <c r="F36" s="1336">
        <f>+J36+L36</f>
        <v>0</v>
      </c>
      <c r="G36" s="1362">
        <f>+AS156</f>
        <v>0</v>
      </c>
      <c r="H36" s="1370">
        <f>+AT156</f>
        <v>0</v>
      </c>
      <c r="I36" s="1370">
        <f>+AU156</f>
        <v>0</v>
      </c>
      <c r="J36" s="2015">
        <f>+AQ156</f>
        <v>0</v>
      </c>
      <c r="K36" s="2015"/>
      <c r="L36" s="2019">
        <f>+AR156</f>
        <v>0</v>
      </c>
      <c r="M36" s="2020"/>
      <c r="N36" s="1"/>
      <c r="P36" s="1083" t="e">
        <f t="shared" ref="P36:P46" si="0">+J36/F36*100</f>
        <v>#DIV/0!</v>
      </c>
      <c r="Q36" s="530"/>
      <c r="R36" s="530"/>
      <c r="S36" s="530"/>
      <c r="T36" s="1928">
        <f>+BO157</f>
        <v>0</v>
      </c>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530"/>
      <c r="AU36" s="530"/>
      <c r="AV36" s="530"/>
      <c r="AW36" s="530"/>
      <c r="AX36" s="530"/>
      <c r="AY36" s="530"/>
      <c r="AZ36" s="530"/>
      <c r="BA36" s="530"/>
      <c r="BB36" s="530"/>
      <c r="BC36" s="530"/>
      <c r="BD36" s="530"/>
      <c r="BE36" s="530"/>
      <c r="BF36" s="530"/>
      <c r="BG36" s="530"/>
      <c r="BH36" s="530"/>
      <c r="BI36" s="530"/>
      <c r="BJ36" s="530"/>
      <c r="BK36" s="530"/>
      <c r="BL36" s="530"/>
      <c r="BM36" s="530"/>
      <c r="BN36" s="530"/>
      <c r="BO36" s="530"/>
      <c r="BP36" s="530"/>
      <c r="BQ36" s="530"/>
      <c r="BR36" s="530"/>
      <c r="BS36" s="530"/>
      <c r="BT36" s="530"/>
      <c r="BU36" s="530"/>
      <c r="BV36" s="530"/>
      <c r="BW36" s="530"/>
      <c r="BX36" s="531"/>
      <c r="BY36" s="531"/>
      <c r="BZ36" s="531"/>
      <c r="CA36" s="531"/>
      <c r="CB36" s="530"/>
      <c r="CC36" s="530"/>
      <c r="CD36" s="530"/>
      <c r="CE36" s="530"/>
      <c r="CF36" s="530"/>
    </row>
    <row r="37" spans="1:84" s="408" customFormat="1" ht="10.5" customHeight="1" x14ac:dyDescent="0.2">
      <c r="A37" s="1353" t="s">
        <v>548</v>
      </c>
      <c r="B37" s="1338"/>
      <c r="C37" s="1338"/>
      <c r="D37" s="25"/>
      <c r="E37" s="25"/>
      <c r="F37" s="1336">
        <f>+J37+L37</f>
        <v>0</v>
      </c>
      <c r="G37" s="1362">
        <f>+AN156</f>
        <v>0</v>
      </c>
      <c r="H37" s="1370">
        <f>+AO156</f>
        <v>0</v>
      </c>
      <c r="I37" s="1370">
        <f>+AP156</f>
        <v>0</v>
      </c>
      <c r="J37" s="2015">
        <f>+AL156</f>
        <v>0</v>
      </c>
      <c r="K37" s="2015"/>
      <c r="L37" s="2019">
        <f>+AM156</f>
        <v>0</v>
      </c>
      <c r="M37" s="2020"/>
      <c r="N37" s="1"/>
      <c r="P37" s="1083" t="e">
        <f t="shared" si="0"/>
        <v>#DIV/0!</v>
      </c>
      <c r="Q37" s="530"/>
      <c r="R37" s="530"/>
      <c r="S37" s="530"/>
      <c r="T37" s="1929"/>
      <c r="U37" s="530"/>
      <c r="V37" s="530"/>
      <c r="W37" s="530"/>
      <c r="X37" s="530"/>
      <c r="Y37" s="530"/>
      <c r="Z37" s="530"/>
      <c r="AA37" s="530"/>
      <c r="AB37" s="530"/>
      <c r="AC37" s="530"/>
      <c r="AD37" s="530"/>
      <c r="AE37" s="530"/>
      <c r="AF37" s="530"/>
      <c r="AG37" s="530"/>
      <c r="AH37" s="530"/>
      <c r="AI37" s="530"/>
      <c r="AJ37" s="530"/>
      <c r="AK37" s="530"/>
      <c r="AL37" s="530"/>
      <c r="AM37" s="530"/>
      <c r="AN37" s="530"/>
      <c r="AO37" s="530"/>
      <c r="AP37" s="530"/>
      <c r="AQ37" s="530"/>
      <c r="AR37" s="530"/>
      <c r="AS37" s="530"/>
      <c r="AT37" s="530"/>
      <c r="AU37" s="530"/>
      <c r="AV37" s="530"/>
      <c r="AW37" s="530"/>
      <c r="AX37" s="530"/>
      <c r="AY37" s="530"/>
      <c r="AZ37" s="530"/>
      <c r="BA37" s="530"/>
      <c r="BB37" s="530"/>
      <c r="BC37" s="530"/>
      <c r="BD37" s="530"/>
      <c r="BE37" s="530"/>
      <c r="BF37" s="530"/>
      <c r="BG37" s="530"/>
      <c r="BH37" s="530"/>
      <c r="BI37" s="530"/>
      <c r="BJ37" s="530"/>
      <c r="BK37" s="530"/>
      <c r="BL37" s="530"/>
      <c r="BM37" s="530"/>
      <c r="BN37" s="530"/>
      <c r="BO37" s="530"/>
      <c r="BP37" s="530"/>
      <c r="BQ37" s="530"/>
      <c r="BR37" s="530"/>
      <c r="BS37" s="530"/>
      <c r="BT37" s="530"/>
      <c r="BU37" s="530"/>
      <c r="BV37" s="530"/>
      <c r="BW37" s="530"/>
      <c r="BX37" s="531"/>
      <c r="BY37" s="531"/>
      <c r="BZ37" s="531"/>
      <c r="CA37" s="531"/>
      <c r="CB37" s="530"/>
      <c r="CC37" s="530"/>
      <c r="CD37" s="530"/>
      <c r="CE37" s="530"/>
      <c r="CF37" s="530"/>
    </row>
    <row r="38" spans="1:84" s="408" customFormat="1" ht="10.5" customHeight="1" x14ac:dyDescent="0.2">
      <c r="A38" s="1353" t="s">
        <v>1048</v>
      </c>
      <c r="B38" s="1338"/>
      <c r="C38" s="1338"/>
      <c r="D38" s="25"/>
      <c r="E38" s="25"/>
      <c r="F38" s="1336">
        <f>SUM(J164:K170)</f>
        <v>0</v>
      </c>
      <c r="G38" s="1363"/>
      <c r="H38" s="1371"/>
      <c r="I38" s="1371"/>
      <c r="J38" s="2175"/>
      <c r="K38" s="2175"/>
      <c r="L38" s="2176">
        <f>+F38</f>
        <v>0</v>
      </c>
      <c r="M38" s="2177"/>
      <c r="N38" s="1"/>
      <c r="P38" s="1083" t="e">
        <f t="shared" si="0"/>
        <v>#DIV/0!</v>
      </c>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c r="AP38" s="530"/>
      <c r="AQ38" s="530"/>
      <c r="AR38" s="530"/>
      <c r="AS38" s="530"/>
      <c r="AT38" s="530"/>
      <c r="AU38" s="530"/>
      <c r="AV38" s="530"/>
      <c r="AW38" s="530"/>
      <c r="AX38" s="530"/>
      <c r="AY38" s="530"/>
      <c r="AZ38" s="530"/>
      <c r="BA38" s="530"/>
      <c r="BB38" s="530"/>
      <c r="BC38" s="530"/>
      <c r="BD38" s="530"/>
      <c r="BE38" s="530"/>
      <c r="BF38" s="530"/>
      <c r="BG38" s="530"/>
      <c r="BH38" s="530"/>
      <c r="BI38" s="530"/>
      <c r="BJ38" s="530"/>
      <c r="BK38" s="530"/>
      <c r="BL38" s="530"/>
      <c r="BM38" s="530"/>
      <c r="BN38" s="530"/>
      <c r="BO38" s="530"/>
      <c r="BP38" s="530"/>
      <c r="BQ38" s="530"/>
      <c r="BR38" s="530"/>
      <c r="BS38" s="530"/>
      <c r="BT38" s="530"/>
      <c r="BU38" s="530"/>
      <c r="BV38" s="530"/>
      <c r="BW38" s="530"/>
      <c r="BX38" s="531"/>
      <c r="BY38" s="531"/>
      <c r="BZ38" s="531"/>
      <c r="CA38" s="531"/>
      <c r="CB38" s="530"/>
      <c r="CC38" s="530"/>
      <c r="CD38" s="530"/>
      <c r="CE38" s="530"/>
      <c r="CF38" s="530"/>
    </row>
    <row r="39" spans="1:84" s="646" customFormat="1" ht="15" customHeight="1" x14ac:dyDescent="0.2">
      <c r="A39" s="1354" t="s">
        <v>1017</v>
      </c>
      <c r="B39" s="1344"/>
      <c r="C39" s="1344"/>
      <c r="D39" s="1345"/>
      <c r="E39" s="1345"/>
      <c r="F39" s="1346">
        <f>+J39+L39</f>
        <v>0</v>
      </c>
      <c r="G39" s="1364"/>
      <c r="H39" s="1372"/>
      <c r="I39" s="1372"/>
      <c r="J39" s="2028">
        <f>+S159*-1</f>
        <v>0</v>
      </c>
      <c r="K39" s="2028"/>
      <c r="L39" s="1949">
        <f>+T159*-1</f>
        <v>0</v>
      </c>
      <c r="M39" s="1950"/>
      <c r="N39" s="1237"/>
      <c r="P39" s="1083" t="e">
        <f t="shared" si="0"/>
        <v>#DIV/0!</v>
      </c>
      <c r="Q39" s="647"/>
      <c r="R39" s="647"/>
      <c r="S39" s="647"/>
      <c r="T39" s="647"/>
      <c r="U39" s="647"/>
      <c r="V39" s="647"/>
      <c r="W39" s="647"/>
      <c r="X39" s="647"/>
      <c r="Y39" s="647"/>
      <c r="Z39" s="647"/>
      <c r="AA39" s="647"/>
      <c r="AB39" s="647"/>
      <c r="AC39" s="647"/>
      <c r="AD39" s="647"/>
      <c r="AE39" s="647"/>
      <c r="AF39" s="647"/>
      <c r="AG39" s="647"/>
      <c r="AH39" s="647"/>
      <c r="AI39" s="647"/>
      <c r="AJ39" s="647"/>
      <c r="AK39" s="647"/>
      <c r="AL39" s="647"/>
      <c r="AM39" s="647"/>
      <c r="AN39" s="647"/>
      <c r="AO39" s="647"/>
      <c r="AP39" s="647"/>
      <c r="AQ39" s="647"/>
      <c r="AR39" s="647"/>
      <c r="AS39" s="647"/>
      <c r="AT39" s="647"/>
      <c r="AU39" s="647"/>
      <c r="AV39" s="647"/>
      <c r="AW39" s="647"/>
      <c r="AX39" s="647"/>
      <c r="AY39" s="647"/>
      <c r="AZ39" s="647"/>
      <c r="BA39" s="647"/>
      <c r="BB39" s="647"/>
      <c r="BC39" s="647"/>
      <c r="BD39" s="647"/>
      <c r="BE39" s="647"/>
      <c r="BF39" s="647"/>
      <c r="BG39" s="647"/>
      <c r="BH39" s="647"/>
      <c r="BI39" s="647"/>
      <c r="BJ39" s="647"/>
      <c r="BK39" s="647"/>
      <c r="BL39" s="647"/>
      <c r="BM39" s="647"/>
      <c r="BN39" s="647"/>
      <c r="BO39" s="647"/>
      <c r="BP39" s="647"/>
      <c r="BQ39" s="647"/>
      <c r="BR39" s="647"/>
      <c r="BS39" s="647"/>
      <c r="BT39" s="647"/>
      <c r="BU39" s="647"/>
      <c r="BV39" s="647"/>
      <c r="BW39" s="647"/>
      <c r="BX39" s="648"/>
      <c r="BY39" s="648"/>
      <c r="BZ39" s="648"/>
      <c r="CA39" s="648"/>
      <c r="CB39" s="647"/>
      <c r="CC39" s="647"/>
      <c r="CD39" s="647"/>
      <c r="CE39" s="647"/>
      <c r="CF39" s="647"/>
    </row>
    <row r="40" spans="1:84" s="646" customFormat="1" ht="15" customHeight="1" x14ac:dyDescent="0.2">
      <c r="A40" s="1938" t="s">
        <v>1252</v>
      </c>
      <c r="B40" s="1939"/>
      <c r="C40" s="1939"/>
      <c r="D40" s="1939"/>
      <c r="E40" s="1939"/>
      <c r="F40" s="1357"/>
      <c r="G40" s="1365">
        <f>+U156*0.05*-1</f>
        <v>0</v>
      </c>
      <c r="H40" s="1373"/>
      <c r="I40" s="1373"/>
      <c r="J40" s="2023"/>
      <c r="K40" s="2023"/>
      <c r="L40" s="2016"/>
      <c r="M40" s="2017"/>
      <c r="N40" s="1237"/>
      <c r="P40" s="1083" t="e">
        <f t="shared" si="0"/>
        <v>#DIV/0!</v>
      </c>
      <c r="Q40" s="647"/>
      <c r="R40" s="647"/>
      <c r="S40" s="647"/>
      <c r="T40" s="647"/>
      <c r="U40" s="647"/>
      <c r="V40" s="647"/>
      <c r="W40" s="647"/>
      <c r="X40" s="647"/>
      <c r="Y40" s="647"/>
      <c r="Z40" s="647"/>
      <c r="AA40" s="647"/>
      <c r="AB40" s="647"/>
      <c r="AC40" s="647"/>
      <c r="AD40" s="647"/>
      <c r="AE40" s="647"/>
      <c r="AF40" s="647"/>
      <c r="AG40" s="647"/>
      <c r="AH40" s="647"/>
      <c r="AI40" s="647"/>
      <c r="AJ40" s="647"/>
      <c r="AK40" s="647"/>
      <c r="AL40" s="647"/>
      <c r="AM40" s="647"/>
      <c r="AN40" s="647"/>
      <c r="AO40" s="647"/>
      <c r="AP40" s="647"/>
      <c r="AQ40" s="647"/>
      <c r="AR40" s="647"/>
      <c r="AS40" s="647"/>
      <c r="AT40" s="647"/>
      <c r="AU40" s="647"/>
      <c r="AV40" s="647"/>
      <c r="AW40" s="647"/>
      <c r="AX40" s="647"/>
      <c r="AY40" s="647"/>
      <c r="AZ40" s="647"/>
      <c r="BA40" s="647"/>
      <c r="BB40" s="647"/>
      <c r="BC40" s="647"/>
      <c r="BD40" s="647"/>
      <c r="BE40" s="647"/>
      <c r="BF40" s="647"/>
      <c r="BG40" s="647"/>
      <c r="BH40" s="647"/>
      <c r="BI40" s="647"/>
      <c r="BJ40" s="647"/>
      <c r="BK40" s="647"/>
      <c r="BL40" s="647"/>
      <c r="BM40" s="647"/>
      <c r="BN40" s="647"/>
      <c r="BO40" s="647"/>
      <c r="BP40" s="647"/>
      <c r="BQ40" s="647"/>
      <c r="BR40" s="647"/>
      <c r="BS40" s="647"/>
      <c r="BT40" s="647"/>
      <c r="BU40" s="647"/>
      <c r="BV40" s="647"/>
      <c r="BW40" s="647"/>
      <c r="BX40" s="648"/>
      <c r="BY40" s="648"/>
      <c r="BZ40" s="648"/>
      <c r="CA40" s="648"/>
      <c r="CB40" s="647"/>
      <c r="CC40" s="647"/>
      <c r="CD40" s="647"/>
      <c r="CE40" s="647"/>
      <c r="CF40" s="647"/>
    </row>
    <row r="41" spans="1:84" s="646" customFormat="1" ht="15" customHeight="1" x14ac:dyDescent="0.2">
      <c r="A41" s="1355" t="s">
        <v>522</v>
      </c>
      <c r="B41" s="1340"/>
      <c r="C41" s="1340"/>
      <c r="D41" s="1341"/>
      <c r="E41" s="1341"/>
      <c r="F41" s="1342">
        <f>+F34+F39</f>
        <v>0</v>
      </c>
      <c r="G41" s="1366">
        <f>+G34+G40</f>
        <v>0</v>
      </c>
      <c r="H41" s="1374">
        <f>+H34</f>
        <v>0</v>
      </c>
      <c r="I41" s="1374">
        <f>+I34</f>
        <v>0</v>
      </c>
      <c r="J41" s="2018">
        <f>+J34+J39</f>
        <v>0</v>
      </c>
      <c r="K41" s="2018"/>
      <c r="L41" s="2021">
        <f>+L34+L39</f>
        <v>0</v>
      </c>
      <c r="M41" s="2022"/>
      <c r="N41" s="1237"/>
      <c r="P41" s="1083" t="e">
        <f t="shared" si="0"/>
        <v>#DIV/0!</v>
      </c>
      <c r="Q41" s="647"/>
      <c r="R41" s="647"/>
      <c r="S41" s="647"/>
      <c r="T41" s="647"/>
      <c r="U41" s="647"/>
      <c r="V41" s="647"/>
      <c r="W41" s="647"/>
      <c r="X41" s="647"/>
      <c r="Y41" s="647"/>
      <c r="Z41" s="647"/>
      <c r="AA41" s="647"/>
      <c r="AB41" s="647"/>
      <c r="AC41" s="647"/>
      <c r="AD41" s="647"/>
      <c r="AE41" s="647"/>
      <c r="AF41" s="647"/>
      <c r="AG41" s="647"/>
      <c r="AH41" s="647"/>
      <c r="AI41" s="647"/>
      <c r="AJ41" s="647"/>
      <c r="AK41" s="647"/>
      <c r="AL41" s="647"/>
      <c r="AM41" s="647"/>
      <c r="AN41" s="647"/>
      <c r="AO41" s="647"/>
      <c r="AP41" s="647"/>
      <c r="AQ41" s="647"/>
      <c r="AR41" s="647"/>
      <c r="AS41" s="647"/>
      <c r="AT41" s="647"/>
      <c r="AU41" s="647"/>
      <c r="AV41" s="647"/>
      <c r="AW41" s="647"/>
      <c r="AX41" s="647"/>
      <c r="AY41" s="647"/>
      <c r="AZ41" s="647"/>
      <c r="BA41" s="647"/>
      <c r="BB41" s="647"/>
      <c r="BC41" s="647"/>
      <c r="BD41" s="647"/>
      <c r="BE41" s="647"/>
      <c r="BF41" s="647"/>
      <c r="BG41" s="647"/>
      <c r="BH41" s="647"/>
      <c r="BI41" s="647"/>
      <c r="BJ41" s="647"/>
      <c r="BK41" s="647"/>
      <c r="BL41" s="647"/>
      <c r="BM41" s="647"/>
      <c r="BN41" s="647"/>
      <c r="BO41" s="647"/>
      <c r="BP41" s="647"/>
      <c r="BQ41" s="647"/>
      <c r="BR41" s="647"/>
      <c r="BS41" s="647"/>
      <c r="BT41" s="647"/>
      <c r="BU41" s="647"/>
      <c r="BV41" s="647"/>
      <c r="BW41" s="647"/>
      <c r="BX41" s="648"/>
      <c r="BY41" s="648"/>
      <c r="BZ41" s="648"/>
      <c r="CA41" s="648"/>
      <c r="CB41" s="647"/>
      <c r="CC41" s="647"/>
      <c r="CD41" s="647"/>
      <c r="CE41" s="647"/>
      <c r="CF41" s="647"/>
    </row>
    <row r="42" spans="1:84" s="646" customFormat="1" ht="10.5" customHeight="1" x14ac:dyDescent="0.2">
      <c r="A42" s="1940" t="s">
        <v>930</v>
      </c>
      <c r="B42" s="1941"/>
      <c r="C42" s="1941"/>
      <c r="D42" s="1941"/>
      <c r="E42" s="1941"/>
      <c r="F42" s="1343">
        <f>+J42+L42</f>
        <v>0</v>
      </c>
      <c r="G42" s="1379">
        <f>+J95+J99</f>
        <v>0</v>
      </c>
      <c r="H42" s="1375">
        <f>+K95+K99</f>
        <v>0</v>
      </c>
      <c r="I42" s="1375">
        <f>+M95+M99</f>
        <v>0</v>
      </c>
      <c r="J42" s="1942">
        <f>+DV95-ED88</f>
        <v>0</v>
      </c>
      <c r="K42" s="1942"/>
      <c r="L42" s="1943">
        <f>+DW95-EE88</f>
        <v>0</v>
      </c>
      <c r="M42" s="1944"/>
      <c r="N42" s="1237"/>
      <c r="P42" s="1083"/>
      <c r="Q42" s="647"/>
      <c r="R42" s="647"/>
      <c r="S42" s="647"/>
      <c r="T42" s="647"/>
      <c r="U42" s="647"/>
      <c r="V42" s="647"/>
      <c r="W42" s="647"/>
      <c r="X42" s="647"/>
      <c r="Y42" s="647"/>
      <c r="Z42" s="647"/>
      <c r="AA42" s="647"/>
      <c r="AB42" s="647"/>
      <c r="AC42" s="647"/>
      <c r="AD42" s="647"/>
      <c r="AE42" s="647"/>
      <c r="AF42" s="647"/>
      <c r="AG42" s="647"/>
      <c r="AH42" s="647"/>
      <c r="AI42" s="647"/>
      <c r="AJ42" s="647"/>
      <c r="AK42" s="647"/>
      <c r="AL42" s="647"/>
      <c r="AM42" s="647"/>
      <c r="AN42" s="647"/>
      <c r="AO42" s="647"/>
      <c r="AP42" s="647"/>
      <c r="AQ42" s="647"/>
      <c r="AR42" s="647"/>
      <c r="AS42" s="647"/>
      <c r="AT42" s="647"/>
      <c r="AU42" s="647"/>
      <c r="AV42" s="647"/>
      <c r="AW42" s="647"/>
      <c r="AX42" s="647"/>
      <c r="AY42" s="647"/>
      <c r="AZ42" s="647"/>
      <c r="BA42" s="647"/>
      <c r="BB42" s="647"/>
      <c r="BC42" s="647"/>
      <c r="BD42" s="647"/>
      <c r="BE42" s="647"/>
      <c r="BF42" s="647"/>
      <c r="BG42" s="647"/>
      <c r="BH42" s="647"/>
      <c r="BI42" s="647"/>
      <c r="BJ42" s="647"/>
      <c r="BK42" s="647"/>
      <c r="BL42" s="647"/>
      <c r="BM42" s="647"/>
      <c r="BN42" s="647"/>
      <c r="BO42" s="647"/>
      <c r="BP42" s="647"/>
      <c r="BQ42" s="647"/>
      <c r="BR42" s="647"/>
      <c r="BS42" s="647"/>
      <c r="BT42" s="647"/>
      <c r="BU42" s="647"/>
      <c r="BV42" s="647"/>
      <c r="BW42" s="647"/>
      <c r="BX42" s="648"/>
      <c r="BY42" s="648"/>
      <c r="BZ42" s="648"/>
      <c r="CA42" s="648"/>
      <c r="CB42" s="647"/>
      <c r="CC42" s="647"/>
      <c r="CD42" s="647"/>
      <c r="CE42" s="647"/>
      <c r="CF42" s="647"/>
    </row>
    <row r="43" spans="1:84" s="408" customFormat="1" ht="10.5" customHeight="1" x14ac:dyDescent="0.2">
      <c r="A43" s="1353" t="s">
        <v>544</v>
      </c>
      <c r="B43" s="1339"/>
      <c r="C43" s="1339"/>
      <c r="D43" s="25"/>
      <c r="E43" s="25"/>
      <c r="F43" s="1358"/>
      <c r="G43" s="1363"/>
      <c r="H43" s="1371"/>
      <c r="I43" s="1371"/>
      <c r="J43" s="1547"/>
      <c r="K43" s="1548"/>
      <c r="L43" s="1359"/>
      <c r="M43" s="1360"/>
      <c r="N43" s="1"/>
      <c r="P43" s="1083" t="e">
        <f t="shared" si="0"/>
        <v>#DIV/0!</v>
      </c>
      <c r="Q43" s="530"/>
      <c r="R43" s="530"/>
      <c r="S43" s="530"/>
      <c r="T43" s="530"/>
      <c r="U43" s="530"/>
      <c r="V43" s="530"/>
      <c r="W43" s="530"/>
      <c r="X43" s="530"/>
      <c r="Y43" s="530"/>
      <c r="Z43" s="530"/>
      <c r="AA43" s="530"/>
      <c r="AB43" s="530"/>
      <c r="AC43" s="530"/>
      <c r="AD43" s="530"/>
      <c r="AE43" s="530"/>
      <c r="AF43" s="530"/>
      <c r="AG43" s="530"/>
      <c r="AH43" s="530"/>
      <c r="AI43" s="530"/>
      <c r="AJ43" s="530"/>
      <c r="AK43" s="530"/>
      <c r="AL43" s="530"/>
      <c r="AM43" s="53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530"/>
      <c r="BK43" s="530"/>
      <c r="BL43" s="530"/>
      <c r="BM43" s="530"/>
      <c r="BN43" s="530"/>
      <c r="BO43" s="530"/>
      <c r="BP43" s="530"/>
      <c r="BQ43" s="530"/>
      <c r="BR43" s="530"/>
      <c r="BS43" s="530"/>
      <c r="BT43" s="530"/>
      <c r="BU43" s="530"/>
      <c r="BV43" s="530"/>
      <c r="BW43" s="530"/>
      <c r="BX43" s="531"/>
      <c r="BY43" s="531"/>
      <c r="BZ43" s="531"/>
      <c r="CA43" s="531"/>
      <c r="CB43" s="530"/>
      <c r="CC43" s="530"/>
      <c r="CD43" s="530"/>
      <c r="CE43" s="530"/>
      <c r="CF43" s="530"/>
    </row>
    <row r="44" spans="1:84" s="646" customFormat="1" ht="15" customHeight="1" x14ac:dyDescent="0.2">
      <c r="A44" s="1354" t="s">
        <v>926</v>
      </c>
      <c r="B44" s="1344"/>
      <c r="C44" s="1344"/>
      <c r="D44" s="1345"/>
      <c r="E44" s="1345"/>
      <c r="F44" s="1346">
        <f>+J44+L44</f>
        <v>0</v>
      </c>
      <c r="G44" s="1367">
        <f>+T336*-1</f>
        <v>0</v>
      </c>
      <c r="H44" s="1376">
        <f>+U336*-1</f>
        <v>0</v>
      </c>
      <c r="I44" s="1376">
        <f>+V336*-1</f>
        <v>0</v>
      </c>
      <c r="J44" s="2028">
        <f>+R336*-1</f>
        <v>0</v>
      </c>
      <c r="K44" s="2028"/>
      <c r="L44" s="1949">
        <f>+S336*-1</f>
        <v>0</v>
      </c>
      <c r="M44" s="1950"/>
      <c r="N44" s="1237"/>
      <c r="P44" s="1083" t="e">
        <f t="shared" si="0"/>
        <v>#DIV/0!</v>
      </c>
      <c r="Q44" s="647"/>
      <c r="R44" s="647" t="s">
        <v>934</v>
      </c>
      <c r="S44" s="647"/>
      <c r="T44" s="647"/>
      <c r="U44" s="647"/>
      <c r="V44" s="647"/>
      <c r="W44" s="647"/>
      <c r="X44" s="647"/>
      <c r="Y44" s="647"/>
      <c r="Z44" s="647"/>
      <c r="AA44" s="647"/>
      <c r="AB44" s="647"/>
      <c r="AC44" s="647"/>
      <c r="AD44" s="647"/>
      <c r="AE44" s="647"/>
      <c r="AF44" s="647"/>
      <c r="AG44" s="647"/>
      <c r="AH44" s="647"/>
      <c r="AI44" s="647"/>
      <c r="AJ44" s="647"/>
      <c r="AK44" s="647"/>
      <c r="AL44" s="647"/>
      <c r="AM44" s="647"/>
      <c r="AN44" s="647"/>
      <c r="AO44" s="647"/>
      <c r="AP44" s="647"/>
      <c r="AQ44" s="647"/>
      <c r="AR44" s="647"/>
      <c r="AS44" s="647"/>
      <c r="AT44" s="647"/>
      <c r="AU44" s="647"/>
      <c r="AV44" s="647"/>
      <c r="AW44" s="647"/>
      <c r="AX44" s="647"/>
      <c r="AY44" s="647"/>
      <c r="AZ44" s="647"/>
      <c r="BA44" s="647"/>
      <c r="BB44" s="647"/>
      <c r="BC44" s="647"/>
      <c r="BD44" s="647"/>
      <c r="BE44" s="647"/>
      <c r="BF44" s="647"/>
      <c r="BG44" s="647"/>
      <c r="BH44" s="647"/>
      <c r="BI44" s="647"/>
      <c r="BJ44" s="647"/>
      <c r="BK44" s="647"/>
      <c r="BL44" s="647"/>
      <c r="BM44" s="647"/>
      <c r="BN44" s="647"/>
      <c r="BO44" s="647"/>
      <c r="BP44" s="647"/>
      <c r="BQ44" s="647"/>
      <c r="BR44" s="647"/>
      <c r="BS44" s="647"/>
      <c r="BT44" s="647"/>
      <c r="BU44" s="647"/>
      <c r="BV44" s="647"/>
      <c r="BW44" s="647"/>
      <c r="BX44" s="648"/>
      <c r="BY44" s="648"/>
      <c r="BZ44" s="648"/>
      <c r="CA44" s="648"/>
      <c r="CB44" s="647"/>
      <c r="CC44" s="647"/>
      <c r="CD44" s="647"/>
      <c r="CE44" s="647"/>
      <c r="CF44" s="647"/>
    </row>
    <row r="45" spans="1:84" s="646" customFormat="1" ht="15" customHeight="1" x14ac:dyDescent="0.2">
      <c r="A45" s="1354" t="s">
        <v>1025</v>
      </c>
      <c r="B45" s="1347"/>
      <c r="C45" s="1347"/>
      <c r="D45" s="1347"/>
      <c r="E45" s="1348" t="str">
        <f>IF(P7&gt;170,"!!zu hoch!!"," ")</f>
        <v xml:space="preserve"> </v>
      </c>
      <c r="F45" s="1349">
        <f>+J45+L45</f>
        <v>0</v>
      </c>
      <c r="G45" s="1367">
        <f>+(Z336+J99)*-1</f>
        <v>0</v>
      </c>
      <c r="H45" s="1376">
        <f>+(AA336+K99)*-1</f>
        <v>0</v>
      </c>
      <c r="I45" s="1376">
        <f>+(AB336+M99)*-1</f>
        <v>0</v>
      </c>
      <c r="J45" s="2028">
        <f>+X336*-1</f>
        <v>0</v>
      </c>
      <c r="K45" s="2028"/>
      <c r="L45" s="1949">
        <f>+Y336*-1</f>
        <v>0</v>
      </c>
      <c r="M45" s="1950"/>
      <c r="N45" s="1237"/>
      <c r="P45" s="1083" t="e">
        <f t="shared" si="0"/>
        <v>#DIV/0!</v>
      </c>
      <c r="Q45" s="647"/>
      <c r="R45" s="646" t="s">
        <v>4</v>
      </c>
      <c r="S45" s="647" t="s">
        <v>5</v>
      </c>
      <c r="T45" s="647" t="s">
        <v>2</v>
      </c>
      <c r="U45" s="648"/>
      <c r="V45" s="647"/>
      <c r="W45" s="647"/>
      <c r="X45" s="647"/>
      <c r="Y45" s="647"/>
      <c r="Z45" s="647"/>
      <c r="AA45" s="647"/>
      <c r="AB45" s="647"/>
      <c r="AC45" s="647"/>
      <c r="AD45" s="647"/>
      <c r="AE45" s="647"/>
      <c r="AF45" s="647"/>
      <c r="AG45" s="647"/>
      <c r="AH45" s="647"/>
      <c r="AI45" s="647"/>
      <c r="AJ45" s="647"/>
      <c r="AK45" s="647"/>
      <c r="AL45" s="647"/>
      <c r="AM45" s="647"/>
      <c r="AN45" s="647"/>
      <c r="AO45" s="647"/>
      <c r="AP45" s="647"/>
      <c r="AQ45" s="647"/>
      <c r="AR45" s="647"/>
      <c r="AS45" s="647"/>
      <c r="AT45" s="647"/>
      <c r="AU45" s="647"/>
      <c r="AV45" s="647"/>
      <c r="AW45" s="647"/>
      <c r="AX45" s="647"/>
      <c r="AY45" s="647"/>
      <c r="AZ45" s="647"/>
      <c r="BA45" s="647"/>
      <c r="BB45" s="647"/>
      <c r="BC45" s="647"/>
      <c r="BD45" s="647"/>
      <c r="BE45" s="647"/>
      <c r="BF45" s="647"/>
      <c r="BG45" s="647"/>
      <c r="BH45" s="647"/>
      <c r="BI45" s="647"/>
      <c r="BJ45" s="647"/>
      <c r="BK45" s="647"/>
      <c r="BL45" s="647"/>
      <c r="BM45" s="647"/>
      <c r="BN45" s="647"/>
      <c r="BO45" s="647"/>
      <c r="BP45" s="647"/>
      <c r="BQ45" s="647"/>
      <c r="BR45" s="647"/>
      <c r="BS45" s="647"/>
      <c r="BT45" s="647"/>
      <c r="BU45" s="647"/>
      <c r="BV45" s="647"/>
      <c r="BW45" s="647"/>
      <c r="BX45" s="648"/>
      <c r="BY45" s="648"/>
      <c r="BZ45" s="648"/>
      <c r="CA45" s="648"/>
      <c r="CB45" s="647"/>
      <c r="CC45" s="647"/>
      <c r="CD45" s="647"/>
      <c r="CE45" s="647"/>
      <c r="CF45" s="647"/>
    </row>
    <row r="46" spans="1:84" s="646" customFormat="1" ht="15" customHeight="1" x14ac:dyDescent="0.2">
      <c r="A46" s="1938" t="s">
        <v>550</v>
      </c>
      <c r="B46" s="1939"/>
      <c r="C46" s="1939"/>
      <c r="D46" s="1939"/>
      <c r="E46" s="26" t="s">
        <v>561</v>
      </c>
      <c r="F46" s="1342">
        <f>+F45+F44+F42+F41</f>
        <v>0</v>
      </c>
      <c r="G46" s="1366">
        <f>+G45+G44+G42+G41</f>
        <v>0</v>
      </c>
      <c r="H46" s="1374">
        <f>+H45+H44+H42+H41</f>
        <v>0</v>
      </c>
      <c r="I46" s="1374">
        <f>+I45+I44+I42+I41</f>
        <v>0</v>
      </c>
      <c r="J46" s="2018">
        <f>+J45+J44+J42+J41</f>
        <v>0</v>
      </c>
      <c r="K46" s="2018"/>
      <c r="L46" s="2021">
        <f>+L45+L44+L42+L41</f>
        <v>0</v>
      </c>
      <c r="M46" s="2022"/>
      <c r="N46" s="1237"/>
      <c r="P46" s="1083" t="e">
        <f t="shared" si="0"/>
        <v>#DIV/0!</v>
      </c>
      <c r="Q46" s="647"/>
      <c r="R46" s="647">
        <f>+(G42+G34+G40-BG156*0.95-J98-J94)*T46</f>
        <v>0</v>
      </c>
      <c r="S46" s="647">
        <f>+(H42+H34-BH156-K98-K94)*T46</f>
        <v>0</v>
      </c>
      <c r="T46" s="647">
        <f>IF(X5&lt;2,0.25,0.2)</f>
        <v>0.25</v>
      </c>
      <c r="U46" s="647"/>
      <c r="V46" s="647"/>
      <c r="W46" s="647"/>
      <c r="X46" s="647"/>
      <c r="Y46" s="647"/>
      <c r="Z46" s="647"/>
      <c r="AA46" s="647"/>
      <c r="AB46" s="647"/>
      <c r="AC46" s="647"/>
      <c r="AD46" s="647"/>
      <c r="AE46" s="647"/>
      <c r="AF46" s="647"/>
      <c r="AG46" s="647"/>
      <c r="AH46" s="647"/>
      <c r="AI46" s="647"/>
      <c r="AJ46" s="647"/>
      <c r="AK46" s="647"/>
      <c r="AL46" s="647"/>
      <c r="AM46" s="647"/>
      <c r="AN46" s="647"/>
      <c r="AO46" s="647"/>
      <c r="AP46" s="647"/>
      <c r="AQ46" s="647"/>
      <c r="AR46" s="647"/>
      <c r="AS46" s="647"/>
      <c r="AT46" s="647"/>
      <c r="AU46" s="647"/>
      <c r="AV46" s="647"/>
      <c r="AW46" s="647"/>
      <c r="AX46" s="647"/>
      <c r="AY46" s="647"/>
      <c r="AZ46" s="647"/>
      <c r="BA46" s="647"/>
      <c r="BB46" s="647"/>
      <c r="BC46" s="647"/>
      <c r="BD46" s="647"/>
      <c r="BE46" s="647"/>
      <c r="BF46" s="647"/>
      <c r="BG46" s="647"/>
      <c r="BH46" s="647"/>
      <c r="BI46" s="647"/>
      <c r="BJ46" s="647"/>
      <c r="BK46" s="647"/>
      <c r="BL46" s="647"/>
      <c r="BM46" s="647"/>
      <c r="BN46" s="647"/>
      <c r="BO46" s="647"/>
      <c r="BP46" s="647"/>
      <c r="BQ46" s="647"/>
      <c r="BR46" s="647"/>
      <c r="BS46" s="647"/>
      <c r="BT46" s="647"/>
      <c r="BU46" s="647"/>
      <c r="BV46" s="647"/>
      <c r="BW46" s="647"/>
      <c r="BX46" s="648"/>
      <c r="BY46" s="648"/>
      <c r="BZ46" s="648"/>
      <c r="CA46" s="648"/>
      <c r="CB46" s="647"/>
      <c r="CC46" s="647"/>
      <c r="CD46" s="647"/>
      <c r="CE46" s="647"/>
      <c r="CF46" s="647"/>
    </row>
    <row r="47" spans="1:84" s="408" customFormat="1" ht="10.5" customHeight="1" thickBot="1" x14ac:dyDescent="0.25">
      <c r="A47" s="2063"/>
      <c r="B47" s="2064"/>
      <c r="C47" s="2064"/>
      <c r="D47" s="2064"/>
      <c r="E47" s="1356" t="s">
        <v>1026</v>
      </c>
      <c r="F47" s="1337">
        <f>IF(F41+F42=0,0,+F46/(F41+F42)*100)</f>
        <v>0</v>
      </c>
      <c r="G47" s="1368">
        <f>IF(G41+G42=0,0,G46/(G41+G42)*100)</f>
        <v>0</v>
      </c>
      <c r="H47" s="1377">
        <f>IF(H41+H42=0,0,H46/(H41+H42)*100)</f>
        <v>0</v>
      </c>
      <c r="I47" s="1378">
        <f>IF(I41+I42=0,0,I46/(I41+I42)*100)</f>
        <v>0</v>
      </c>
      <c r="J47" s="2065">
        <f>IF(J41+J42=0,0,J46/(J41+J42)*100)</f>
        <v>0</v>
      </c>
      <c r="K47" s="2065"/>
      <c r="L47" s="2066">
        <f>IF(L41+L42=0,0,L46/(L41+L42)*100)</f>
        <v>0</v>
      </c>
      <c r="M47" s="2067"/>
      <c r="N47" s="1"/>
      <c r="P47" s="530"/>
      <c r="Q47" s="530"/>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30"/>
      <c r="AO47" s="530"/>
      <c r="AP47" s="530"/>
      <c r="AQ47" s="530"/>
      <c r="AR47" s="530"/>
      <c r="AS47" s="530"/>
      <c r="AT47" s="530"/>
      <c r="AU47" s="530"/>
      <c r="AV47" s="530"/>
      <c r="AW47" s="530"/>
      <c r="AX47" s="530"/>
      <c r="AY47" s="530"/>
      <c r="AZ47" s="530"/>
      <c r="BA47" s="530"/>
      <c r="BB47" s="530"/>
      <c r="BC47" s="530"/>
      <c r="BD47" s="530"/>
      <c r="BE47" s="530"/>
      <c r="BF47" s="530"/>
      <c r="BG47" s="530"/>
      <c r="BH47" s="530"/>
      <c r="BI47" s="530"/>
      <c r="BJ47" s="530"/>
      <c r="BK47" s="530"/>
      <c r="BL47" s="530"/>
      <c r="BM47" s="530"/>
      <c r="BN47" s="530"/>
      <c r="BO47" s="530"/>
      <c r="BP47" s="530"/>
      <c r="BQ47" s="530"/>
      <c r="BR47" s="530"/>
      <c r="BS47" s="530"/>
      <c r="BT47" s="530"/>
      <c r="BU47" s="530"/>
      <c r="BV47" s="530"/>
      <c r="BW47" s="530"/>
      <c r="BX47" s="531"/>
      <c r="BY47" s="531"/>
      <c r="BZ47" s="531"/>
      <c r="CA47" s="531"/>
      <c r="CB47" s="530"/>
      <c r="CC47" s="530"/>
      <c r="CD47" s="530"/>
      <c r="CE47" s="530"/>
      <c r="CF47" s="530"/>
    </row>
    <row r="48" spans="1:84" s="646" customFormat="1" ht="4.5" customHeight="1" x14ac:dyDescent="0.2">
      <c r="A48" s="324"/>
      <c r="B48" s="508"/>
      <c r="C48" s="508"/>
      <c r="D48" s="652"/>
      <c r="E48" s="653"/>
      <c r="F48" s="653"/>
      <c r="G48" s="653"/>
      <c r="H48" s="653"/>
      <c r="I48" s="651"/>
      <c r="J48" s="651"/>
      <c r="K48" s="651"/>
      <c r="L48" s="651"/>
      <c r="M48" s="651"/>
      <c r="N48" s="123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c r="AP48" s="647"/>
      <c r="AQ48" s="647"/>
      <c r="AR48" s="647"/>
      <c r="AS48" s="647"/>
      <c r="AT48" s="647"/>
      <c r="AU48" s="647"/>
      <c r="AV48" s="647"/>
      <c r="AW48" s="647"/>
      <c r="AX48" s="647"/>
      <c r="AY48" s="647"/>
      <c r="AZ48" s="647"/>
      <c r="BA48" s="647"/>
      <c r="BB48" s="647"/>
      <c r="BC48" s="647"/>
      <c r="BD48" s="647"/>
      <c r="BE48" s="647"/>
      <c r="BF48" s="647"/>
      <c r="BG48" s="647"/>
      <c r="BH48" s="647"/>
      <c r="BI48" s="647"/>
      <c r="BJ48" s="647"/>
      <c r="BK48" s="647"/>
      <c r="BL48" s="647"/>
      <c r="BM48" s="647"/>
      <c r="BN48" s="647"/>
      <c r="BO48" s="647"/>
      <c r="BP48" s="647"/>
      <c r="BQ48" s="647"/>
      <c r="BR48" s="647"/>
      <c r="BS48" s="647"/>
      <c r="BT48" s="647"/>
      <c r="BU48" s="647"/>
      <c r="BV48" s="647"/>
      <c r="BW48" s="647"/>
      <c r="BX48" s="648"/>
      <c r="BY48" s="648"/>
      <c r="BZ48" s="648"/>
      <c r="CA48" s="648"/>
      <c r="CB48" s="647"/>
      <c r="CC48" s="647"/>
      <c r="CD48" s="647"/>
      <c r="CE48" s="647"/>
      <c r="CF48" s="647"/>
    </row>
    <row r="49" spans="1:146" s="646" customFormat="1" ht="9" customHeight="1" thickBot="1" x14ac:dyDescent="0.25">
      <c r="A49" s="324"/>
      <c r="B49" s="508"/>
      <c r="C49" s="508"/>
      <c r="D49" s="652"/>
      <c r="E49" s="653"/>
      <c r="F49" s="653"/>
      <c r="G49" s="653"/>
      <c r="H49" s="653"/>
      <c r="I49" s="651"/>
      <c r="J49" s="651"/>
      <c r="K49" s="651"/>
      <c r="L49" s="651"/>
      <c r="M49" s="651"/>
      <c r="N49" s="1237"/>
      <c r="P49" s="647"/>
      <c r="Q49" s="647"/>
      <c r="R49" s="647"/>
      <c r="S49" s="647"/>
      <c r="T49" s="647"/>
      <c r="U49" s="647"/>
      <c r="V49" s="647"/>
      <c r="W49" s="647"/>
      <c r="X49" s="647"/>
      <c r="Y49" s="647"/>
      <c r="Z49" s="647"/>
      <c r="AA49" s="647"/>
      <c r="AB49" s="647"/>
      <c r="AC49" s="647"/>
      <c r="AD49" s="647"/>
      <c r="AE49" s="647"/>
      <c r="AF49" s="647"/>
      <c r="AG49" s="647"/>
      <c r="AH49" s="647"/>
      <c r="AI49" s="647"/>
      <c r="AJ49" s="647"/>
      <c r="AK49" s="647"/>
      <c r="AL49" s="647"/>
      <c r="AM49" s="647"/>
      <c r="AN49" s="647"/>
      <c r="AO49" s="647"/>
      <c r="AP49" s="647"/>
      <c r="AQ49" s="647"/>
      <c r="AR49" s="647"/>
      <c r="AS49" s="647"/>
      <c r="AT49" s="647"/>
      <c r="AU49" s="647"/>
      <c r="AV49" s="647"/>
      <c r="AW49" s="647"/>
      <c r="AX49" s="647"/>
      <c r="AY49" s="647"/>
      <c r="AZ49" s="647"/>
      <c r="BA49" s="647"/>
      <c r="BB49" s="647"/>
      <c r="BC49" s="647"/>
      <c r="BD49" s="647"/>
      <c r="BE49" s="647"/>
      <c r="BF49" s="647"/>
      <c r="BG49" s="647"/>
      <c r="BH49" s="647"/>
      <c r="BI49" s="647"/>
      <c r="BJ49" s="647"/>
      <c r="BK49" s="647"/>
      <c r="BL49" s="647"/>
      <c r="BM49" s="647"/>
      <c r="BN49" s="647"/>
      <c r="BO49" s="647"/>
      <c r="BP49" s="647"/>
      <c r="BQ49" s="647"/>
      <c r="BR49" s="647"/>
      <c r="BS49" s="647"/>
      <c r="BT49" s="647"/>
      <c r="BU49" s="647"/>
      <c r="BV49" s="647"/>
      <c r="BW49" s="647"/>
      <c r="BX49" s="648"/>
      <c r="BY49" s="648"/>
      <c r="BZ49" s="648"/>
      <c r="CA49" s="648"/>
      <c r="CB49" s="647"/>
      <c r="CC49" s="647"/>
      <c r="CD49" s="647"/>
      <c r="CE49" s="647"/>
      <c r="CF49" s="647"/>
    </row>
    <row r="50" spans="1:146" s="646" customFormat="1" ht="18" customHeight="1" thickBot="1" x14ac:dyDescent="0.25">
      <c r="A50" s="1951" t="s">
        <v>1114</v>
      </c>
      <c r="B50" s="1952"/>
      <c r="C50" s="1952"/>
      <c r="D50" s="1952"/>
      <c r="E50" s="1952"/>
      <c r="F50" s="1952"/>
      <c r="G50" s="1952"/>
      <c r="H50" s="1952"/>
      <c r="I50" s="1953"/>
      <c r="J50" s="2068" t="s">
        <v>314</v>
      </c>
      <c r="K50" s="2069"/>
      <c r="L50" s="2070" t="s">
        <v>315</v>
      </c>
      <c r="M50" s="2071"/>
      <c r="N50" s="123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647"/>
      <c r="AM50" s="647"/>
      <c r="AN50" s="647"/>
      <c r="AO50" s="647"/>
      <c r="AP50" s="647"/>
      <c r="AQ50" s="647"/>
      <c r="AR50" s="647"/>
      <c r="AS50" s="647"/>
      <c r="AT50" s="647"/>
      <c r="AU50" s="647"/>
      <c r="AV50" s="647"/>
      <c r="AW50" s="647"/>
      <c r="AX50" s="647"/>
      <c r="AY50" s="647"/>
      <c r="AZ50" s="647"/>
      <c r="BA50" s="647"/>
      <c r="BB50" s="647"/>
      <c r="BC50" s="647"/>
      <c r="BD50" s="647"/>
      <c r="BE50" s="647"/>
      <c r="BF50" s="647"/>
      <c r="BG50" s="647"/>
      <c r="BH50" s="647"/>
      <c r="BI50" s="647"/>
      <c r="BJ50" s="647"/>
      <c r="BK50" s="647"/>
      <c r="BL50" s="647"/>
      <c r="BM50" s="647"/>
      <c r="BN50" s="647"/>
      <c r="BO50" s="647"/>
      <c r="BP50" s="647"/>
      <c r="BQ50" s="647"/>
      <c r="BR50" s="647"/>
      <c r="BS50" s="647"/>
      <c r="BT50" s="647"/>
      <c r="BU50" s="647"/>
      <c r="BV50" s="647"/>
      <c r="BW50" s="647"/>
      <c r="BX50" s="648"/>
      <c r="BY50" s="648"/>
      <c r="BZ50" s="648"/>
      <c r="CA50" s="648"/>
      <c r="CB50" s="647"/>
      <c r="CC50" s="647"/>
      <c r="CD50" s="647"/>
      <c r="CE50" s="647"/>
      <c r="CF50" s="647"/>
    </row>
    <row r="51" spans="1:146" s="646" customFormat="1" ht="15" customHeight="1" x14ac:dyDescent="0.2">
      <c r="A51" s="1380" t="s">
        <v>515</v>
      </c>
      <c r="B51" s="2"/>
      <c r="C51" s="2"/>
      <c r="D51" s="2"/>
      <c r="E51" s="2"/>
      <c r="F51" s="2"/>
      <c r="G51" s="2"/>
      <c r="H51" s="2"/>
      <c r="I51" s="3"/>
      <c r="J51" s="2072" t="str">
        <f>+J286</f>
        <v>0 Mo.</v>
      </c>
      <c r="K51" s="2073"/>
      <c r="L51" s="2060" t="str">
        <f>+L286</f>
        <v>0 Mo.</v>
      </c>
      <c r="M51" s="2061"/>
      <c r="N51" s="123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L51" s="647"/>
      <c r="AM51" s="647"/>
      <c r="AN51" s="647"/>
      <c r="AO51" s="647"/>
      <c r="AP51" s="647"/>
      <c r="AQ51" s="647"/>
      <c r="AR51" s="647"/>
      <c r="AS51" s="647"/>
      <c r="AT51" s="647"/>
      <c r="AU51" s="647"/>
      <c r="AV51" s="647"/>
      <c r="AW51" s="647"/>
      <c r="AX51" s="647"/>
      <c r="AY51" s="647"/>
      <c r="AZ51" s="647"/>
      <c r="BA51" s="647"/>
      <c r="BB51" s="647"/>
      <c r="BC51" s="647"/>
      <c r="BD51" s="647"/>
      <c r="BE51" s="647"/>
      <c r="BF51" s="647"/>
      <c r="BG51" s="647"/>
      <c r="BH51" s="647"/>
      <c r="BI51" s="647"/>
      <c r="BJ51" s="647"/>
      <c r="BK51" s="647"/>
      <c r="BL51" s="647"/>
      <c r="BM51" s="647"/>
      <c r="BN51" s="647"/>
      <c r="BO51" s="647"/>
      <c r="BP51" s="647"/>
      <c r="BQ51" s="647"/>
      <c r="BR51" s="647"/>
      <c r="BS51" s="647"/>
      <c r="BT51" s="647"/>
      <c r="BU51" s="647"/>
      <c r="BV51" s="647"/>
      <c r="BW51" s="647"/>
      <c r="BX51" s="648"/>
      <c r="BY51" s="648"/>
      <c r="BZ51" s="648"/>
      <c r="CA51" s="648"/>
      <c r="CB51" s="647"/>
      <c r="CC51" s="647"/>
      <c r="CD51" s="647"/>
      <c r="CE51" s="647"/>
      <c r="CF51" s="647"/>
    </row>
    <row r="52" spans="1:146" s="646" customFormat="1" ht="15.75" customHeight="1" x14ac:dyDescent="0.2">
      <c r="A52" s="1383" t="s">
        <v>338</v>
      </c>
      <c r="B52" s="2"/>
      <c r="C52" s="2"/>
      <c r="D52" s="2"/>
      <c r="E52" s="2"/>
      <c r="F52" s="2"/>
      <c r="G52" s="2"/>
      <c r="H52" s="2"/>
      <c r="I52" s="3"/>
      <c r="J52" s="2008">
        <f>+J287</f>
        <v>0</v>
      </c>
      <c r="K52" s="2009"/>
      <c r="L52" s="2062">
        <f>+L287</f>
        <v>0</v>
      </c>
      <c r="M52" s="2009"/>
      <c r="N52" s="123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c r="AP52" s="647"/>
      <c r="AQ52" s="647"/>
      <c r="AR52" s="647"/>
      <c r="AS52" s="647"/>
      <c r="AT52" s="647"/>
      <c r="AU52" s="647"/>
      <c r="AV52" s="647"/>
      <c r="AW52" s="647"/>
      <c r="AX52" s="647"/>
      <c r="AY52" s="647"/>
      <c r="AZ52" s="647"/>
      <c r="BA52" s="647"/>
      <c r="BB52" s="647"/>
      <c r="BC52" s="647"/>
      <c r="BD52" s="647"/>
      <c r="BE52" s="647"/>
      <c r="BF52" s="647"/>
      <c r="BG52" s="647"/>
      <c r="BH52" s="647"/>
      <c r="BI52" s="647"/>
      <c r="BJ52" s="647"/>
      <c r="BK52" s="647"/>
      <c r="BL52" s="647"/>
      <c r="BM52" s="647"/>
      <c r="BN52" s="647"/>
      <c r="BO52" s="647"/>
      <c r="BP52" s="647"/>
      <c r="BQ52" s="647"/>
      <c r="BR52" s="647"/>
      <c r="BS52" s="647"/>
      <c r="BT52" s="647"/>
      <c r="BU52" s="647"/>
      <c r="BV52" s="647"/>
      <c r="BW52" s="647"/>
      <c r="BX52" s="648"/>
      <c r="BY52" s="648"/>
      <c r="BZ52" s="648"/>
      <c r="CA52" s="648"/>
      <c r="CB52" s="647"/>
      <c r="CC52" s="647"/>
      <c r="CD52" s="647"/>
      <c r="CE52" s="647"/>
      <c r="CF52" s="647"/>
    </row>
    <row r="53" spans="1:146" s="646" customFormat="1" ht="15" customHeight="1" thickBot="1" x14ac:dyDescent="0.25">
      <c r="A53" s="1945" t="s">
        <v>1261</v>
      </c>
      <c r="B53" s="1946"/>
      <c r="C53" s="1946"/>
      <c r="D53" s="1946"/>
      <c r="E53" s="1946"/>
      <c r="F53" s="1946"/>
      <c r="G53" s="1946"/>
      <c r="H53" s="1946"/>
      <c r="I53" s="1946"/>
      <c r="J53" s="1954">
        <f>+J290</f>
        <v>0</v>
      </c>
      <c r="K53" s="1955"/>
      <c r="L53" s="2062">
        <f>+L290</f>
        <v>0</v>
      </c>
      <c r="M53" s="2009"/>
      <c r="N53" s="1237"/>
      <c r="P53" s="647"/>
      <c r="Q53" s="647"/>
      <c r="R53" s="647"/>
      <c r="S53" s="647"/>
      <c r="T53" s="647"/>
      <c r="U53" s="647"/>
      <c r="V53" s="647"/>
      <c r="W53" s="647"/>
      <c r="X53" s="647"/>
      <c r="Y53" s="647"/>
      <c r="Z53" s="647"/>
      <c r="AA53" s="647"/>
      <c r="AB53" s="647"/>
      <c r="AC53" s="647"/>
      <c r="AD53" s="647"/>
      <c r="AE53" s="647"/>
      <c r="AF53" s="647"/>
      <c r="AG53" s="647"/>
      <c r="AH53" s="647"/>
      <c r="AI53" s="647"/>
      <c r="AJ53" s="647"/>
      <c r="AK53" s="647"/>
      <c r="AL53" s="647"/>
      <c r="AM53" s="647"/>
      <c r="AN53" s="647"/>
      <c r="AO53" s="647"/>
      <c r="AP53" s="647"/>
      <c r="AQ53" s="647"/>
      <c r="AR53" s="647"/>
      <c r="AS53" s="647"/>
      <c r="AT53" s="647"/>
      <c r="AU53" s="647"/>
      <c r="AV53" s="647"/>
      <c r="AW53" s="647"/>
      <c r="AX53" s="647"/>
      <c r="AY53" s="647"/>
      <c r="AZ53" s="647"/>
      <c r="BA53" s="647"/>
      <c r="BB53" s="647"/>
      <c r="BC53" s="647"/>
      <c r="BD53" s="647"/>
      <c r="BE53" s="647"/>
      <c r="BF53" s="647"/>
      <c r="BG53" s="647"/>
      <c r="BH53" s="647"/>
      <c r="BI53" s="647"/>
      <c r="BJ53" s="647"/>
      <c r="BK53" s="647"/>
      <c r="BL53" s="647"/>
      <c r="BM53" s="647"/>
      <c r="BN53" s="647"/>
      <c r="BO53" s="647"/>
      <c r="BP53" s="647"/>
      <c r="BQ53" s="647"/>
      <c r="BR53" s="647"/>
      <c r="BS53" s="647"/>
      <c r="BT53" s="647"/>
      <c r="BU53" s="647"/>
      <c r="BV53" s="647"/>
      <c r="BW53" s="647"/>
      <c r="BX53" s="648"/>
      <c r="BY53" s="648"/>
      <c r="BZ53" s="648"/>
      <c r="CA53" s="648"/>
      <c r="CB53" s="647"/>
      <c r="CC53" s="647"/>
      <c r="CD53" s="647"/>
      <c r="CE53" s="647"/>
      <c r="CF53" s="647"/>
    </row>
    <row r="54" spans="1:146" s="646" customFormat="1" ht="15" customHeight="1" thickBot="1" x14ac:dyDescent="0.25">
      <c r="A54" s="2181" t="s">
        <v>545</v>
      </c>
      <c r="B54" s="2182"/>
      <c r="C54" s="2182"/>
      <c r="D54" s="2182"/>
      <c r="E54" s="2182"/>
      <c r="F54" s="2182"/>
      <c r="G54" s="2182"/>
      <c r="H54" s="2182"/>
      <c r="I54" s="2183"/>
      <c r="J54" s="2010" t="str">
        <f>+J291</f>
        <v xml:space="preserve"> </v>
      </c>
      <c r="K54" s="2011"/>
      <c r="L54" s="2010" t="str">
        <f>+L291</f>
        <v xml:space="preserve"> </v>
      </c>
      <c r="M54" s="2011"/>
      <c r="N54" s="1237"/>
      <c r="P54" s="647"/>
      <c r="Q54" s="647"/>
      <c r="R54" s="647"/>
      <c r="S54" s="647"/>
      <c r="T54" s="647"/>
      <c r="U54" s="647"/>
      <c r="V54" s="647"/>
      <c r="W54" s="647"/>
      <c r="X54" s="647"/>
      <c r="Y54" s="647"/>
      <c r="Z54" s="647"/>
      <c r="AA54" s="647"/>
      <c r="AB54" s="647"/>
      <c r="AC54" s="647"/>
      <c r="AD54" s="647"/>
      <c r="AE54" s="647"/>
      <c r="AF54" s="647"/>
      <c r="AG54" s="647"/>
      <c r="AH54" s="647"/>
      <c r="AI54" s="647"/>
      <c r="AJ54" s="647"/>
      <c r="AK54" s="647"/>
      <c r="AL54" s="647"/>
      <c r="AM54" s="647"/>
      <c r="AN54" s="647"/>
      <c r="AO54" s="647"/>
      <c r="AP54" s="647"/>
      <c r="AQ54" s="647"/>
      <c r="AR54" s="647"/>
      <c r="AS54" s="647"/>
      <c r="AT54" s="647"/>
      <c r="AU54" s="647"/>
      <c r="AV54" s="647"/>
      <c r="AW54" s="647"/>
      <c r="AX54" s="647"/>
      <c r="AY54" s="647"/>
      <c r="AZ54" s="647"/>
      <c r="BA54" s="647"/>
      <c r="BB54" s="647"/>
      <c r="BC54" s="647"/>
      <c r="BD54" s="647"/>
      <c r="BE54" s="647"/>
      <c r="BF54" s="647"/>
      <c r="BG54" s="647"/>
      <c r="BH54" s="647"/>
      <c r="BI54" s="647"/>
      <c r="BJ54" s="647"/>
      <c r="BK54" s="647"/>
      <c r="BL54" s="647"/>
      <c r="BM54" s="647"/>
      <c r="BN54" s="647"/>
      <c r="BO54" s="647"/>
      <c r="BP54" s="647"/>
      <c r="BQ54" s="647"/>
      <c r="BR54" s="647"/>
      <c r="BS54" s="647"/>
      <c r="BT54" s="647"/>
      <c r="BU54" s="647"/>
      <c r="BV54" s="647"/>
      <c r="BW54" s="647"/>
      <c r="BX54" s="648"/>
      <c r="BY54" s="648"/>
      <c r="BZ54" s="648"/>
      <c r="CA54" s="648"/>
      <c r="CB54" s="647"/>
      <c r="CC54" s="647"/>
      <c r="CD54" s="647"/>
      <c r="CE54" s="647"/>
      <c r="CF54" s="647"/>
    </row>
    <row r="55" spans="1:146" s="646" customFormat="1" ht="8.25" customHeight="1" thickBot="1" x14ac:dyDescent="0.25">
      <c r="A55" s="324"/>
      <c r="B55" s="508"/>
      <c r="C55" s="508"/>
      <c r="D55" s="652"/>
      <c r="E55" s="653"/>
      <c r="F55" s="653"/>
      <c r="G55" s="653"/>
      <c r="H55" s="653"/>
      <c r="I55" s="651"/>
      <c r="J55" s="651"/>
      <c r="K55" s="651"/>
      <c r="L55" s="651"/>
      <c r="M55" s="651"/>
      <c r="N55" s="1237"/>
      <c r="P55" s="647"/>
      <c r="Q55" s="647"/>
      <c r="R55" s="647"/>
      <c r="S55" s="647"/>
      <c r="T55" s="647"/>
      <c r="U55" s="647"/>
      <c r="V55" s="647"/>
      <c r="W55" s="647"/>
      <c r="X55" s="647"/>
      <c r="Y55" s="647"/>
      <c r="Z55" s="647"/>
      <c r="AA55" s="647"/>
      <c r="AB55" s="647"/>
      <c r="AC55" s="647"/>
      <c r="AD55" s="647"/>
      <c r="AE55" s="647"/>
      <c r="AF55" s="647"/>
      <c r="AG55" s="647"/>
      <c r="AH55" s="647"/>
      <c r="AI55" s="647"/>
      <c r="AJ55" s="647"/>
      <c r="AK55" s="647"/>
      <c r="AL55" s="647"/>
      <c r="AM55" s="647"/>
      <c r="AN55" s="647"/>
      <c r="AO55" s="647"/>
      <c r="AP55" s="647"/>
      <c r="AQ55" s="647"/>
      <c r="AR55" s="647"/>
      <c r="AS55" s="647"/>
      <c r="AT55" s="647"/>
      <c r="AU55" s="647"/>
      <c r="AV55" s="647"/>
      <c r="AW55" s="647"/>
      <c r="AX55" s="647"/>
      <c r="AY55" s="647"/>
      <c r="AZ55" s="647"/>
      <c r="BA55" s="647"/>
      <c r="BB55" s="647"/>
      <c r="BC55" s="647"/>
      <c r="BD55" s="647"/>
      <c r="BE55" s="647"/>
      <c r="BF55" s="647"/>
      <c r="BG55" s="647"/>
      <c r="BH55" s="647"/>
      <c r="BI55" s="647"/>
      <c r="BJ55" s="647"/>
      <c r="BK55" s="647"/>
      <c r="BL55" s="647"/>
      <c r="BM55" s="647"/>
      <c r="BN55" s="647"/>
      <c r="BO55" s="647"/>
      <c r="BP55" s="647"/>
      <c r="BQ55" s="647"/>
      <c r="BR55" s="647"/>
      <c r="BS55" s="647"/>
      <c r="BT55" s="647"/>
      <c r="BU55" s="647"/>
      <c r="BV55" s="647"/>
      <c r="BW55" s="647"/>
      <c r="BX55" s="648"/>
      <c r="BY55" s="648"/>
      <c r="BZ55" s="648"/>
      <c r="CA55" s="648"/>
      <c r="CB55" s="647"/>
      <c r="CC55" s="647"/>
      <c r="CD55" s="647"/>
      <c r="CE55" s="647"/>
      <c r="CF55" s="647"/>
    </row>
    <row r="56" spans="1:146" s="646" customFormat="1" ht="15.75" customHeight="1" thickBot="1" x14ac:dyDescent="0.25">
      <c r="A56" s="1951" t="s">
        <v>1049</v>
      </c>
      <c r="B56" s="1952"/>
      <c r="C56" s="1952"/>
      <c r="D56" s="1952"/>
      <c r="E56" s="1952"/>
      <c r="F56" s="1952"/>
      <c r="G56" s="1952"/>
      <c r="H56" s="1952"/>
      <c r="I56" s="1953"/>
      <c r="J56" s="2012" t="s">
        <v>4</v>
      </c>
      <c r="K56" s="2013"/>
      <c r="L56" s="2032" t="s">
        <v>1044</v>
      </c>
      <c r="M56" s="2013"/>
      <c r="N56" s="1237"/>
      <c r="P56" s="647"/>
      <c r="Q56" s="647"/>
      <c r="R56" s="647"/>
      <c r="S56" s="647"/>
      <c r="T56" s="647"/>
      <c r="U56" s="647"/>
      <c r="V56" s="647"/>
      <c r="W56" s="647"/>
      <c r="X56" s="647"/>
      <c r="Y56" s="647"/>
      <c r="Z56" s="647"/>
      <c r="AA56" s="647"/>
      <c r="AB56" s="647"/>
      <c r="AC56" s="647"/>
      <c r="AD56" s="647"/>
      <c r="AE56" s="647"/>
      <c r="AF56" s="647"/>
      <c r="AG56" s="647"/>
      <c r="AH56" s="647"/>
      <c r="AI56" s="647"/>
      <c r="AJ56" s="647"/>
      <c r="AK56" s="647"/>
      <c r="AL56" s="647"/>
      <c r="AM56" s="647"/>
      <c r="AN56" s="647"/>
      <c r="AO56" s="647"/>
      <c r="AP56" s="647"/>
      <c r="AQ56" s="647"/>
      <c r="AR56" s="647"/>
      <c r="AS56" s="647"/>
      <c r="AT56" s="647"/>
      <c r="AU56" s="647"/>
      <c r="AV56" s="647"/>
      <c r="AW56" s="647"/>
      <c r="AX56" s="647"/>
      <c r="AY56" s="647"/>
      <c r="AZ56" s="647"/>
      <c r="BA56" s="647"/>
      <c r="BB56" s="647"/>
      <c r="BC56" s="647"/>
      <c r="BD56" s="647"/>
      <c r="BE56" s="647"/>
      <c r="BF56" s="647"/>
      <c r="BG56" s="647"/>
      <c r="BH56" s="647"/>
      <c r="BI56" s="647"/>
      <c r="BJ56" s="647"/>
      <c r="BK56" s="647"/>
      <c r="BL56" s="647"/>
      <c r="BM56" s="647"/>
      <c r="BN56" s="647"/>
      <c r="BO56" s="647"/>
      <c r="BP56" s="647"/>
      <c r="BQ56" s="647"/>
      <c r="BR56" s="647"/>
      <c r="BS56" s="647"/>
      <c r="BT56" s="647"/>
      <c r="BU56" s="647"/>
      <c r="BV56" s="647"/>
      <c r="BW56" s="647"/>
      <c r="BX56" s="648"/>
      <c r="BY56" s="648"/>
      <c r="BZ56" s="648"/>
      <c r="CA56" s="648"/>
      <c r="CB56" s="647"/>
      <c r="CC56" s="647"/>
      <c r="CD56" s="647"/>
      <c r="CE56" s="647"/>
      <c r="CF56" s="647"/>
    </row>
    <row r="57" spans="1:146" s="646" customFormat="1" ht="15.75" customHeight="1" thickBot="1" x14ac:dyDescent="0.25">
      <c r="A57" s="1387" t="s">
        <v>551</v>
      </c>
      <c r="B57" s="1388"/>
      <c r="C57" s="1388"/>
      <c r="D57" s="1388"/>
      <c r="E57" s="1388"/>
      <c r="F57" s="1388"/>
      <c r="G57" s="1388"/>
      <c r="H57" s="1388"/>
      <c r="I57" s="1389"/>
      <c r="J57" s="2029">
        <f>+G46*1000</f>
        <v>0</v>
      </c>
      <c r="K57" s="2030"/>
      <c r="L57" s="1879">
        <f>+H46*1000</f>
        <v>0</v>
      </c>
      <c r="M57" s="2030"/>
      <c r="N57" s="1237"/>
      <c r="P57" s="647"/>
      <c r="Q57" s="647"/>
      <c r="R57" s="647"/>
      <c r="S57" s="647"/>
      <c r="T57" s="647"/>
      <c r="U57" s="647"/>
      <c r="V57" s="647"/>
      <c r="W57" s="647"/>
      <c r="X57" s="647"/>
      <c r="Y57" s="647"/>
      <c r="Z57" s="647"/>
      <c r="AA57" s="647"/>
      <c r="AB57" s="647"/>
      <c r="AC57" s="647"/>
      <c r="AD57" s="647"/>
      <c r="AE57" s="647"/>
      <c r="AF57" s="647"/>
      <c r="AG57" s="647"/>
      <c r="AH57" s="647"/>
      <c r="AI57" s="647"/>
      <c r="AJ57" s="647"/>
      <c r="AK57" s="647"/>
      <c r="AL57" s="647"/>
      <c r="AM57" s="647"/>
      <c r="AN57" s="647"/>
      <c r="AO57" s="647"/>
      <c r="AP57" s="647"/>
      <c r="AQ57" s="647"/>
      <c r="AR57" s="647"/>
      <c r="AS57" s="647"/>
      <c r="AT57" s="647"/>
      <c r="AU57" s="647"/>
      <c r="AV57" s="647"/>
      <c r="AW57" s="647"/>
      <c r="AX57" s="647"/>
      <c r="AY57" s="647"/>
      <c r="AZ57" s="647"/>
      <c r="BA57" s="647"/>
      <c r="BB57" s="647"/>
      <c r="BC57" s="647"/>
      <c r="BD57" s="647"/>
      <c r="BE57" s="647"/>
      <c r="BF57" s="647"/>
      <c r="BG57" s="647"/>
      <c r="BH57" s="647"/>
      <c r="BI57" s="647"/>
      <c r="BJ57" s="647"/>
      <c r="BK57" s="647"/>
      <c r="BL57" s="647"/>
      <c r="BM57" s="647"/>
      <c r="BN57" s="647"/>
      <c r="BO57" s="647"/>
      <c r="BP57" s="647"/>
      <c r="BQ57" s="647"/>
      <c r="BR57" s="647"/>
      <c r="BS57" s="647"/>
      <c r="BT57" s="647"/>
      <c r="BU57" s="647"/>
      <c r="BV57" s="647"/>
      <c r="BW57" s="647"/>
      <c r="BX57" s="648"/>
      <c r="BY57" s="648"/>
      <c r="BZ57" s="648"/>
      <c r="CA57" s="648"/>
      <c r="CB57" s="647"/>
      <c r="CC57" s="647"/>
      <c r="CD57" s="647"/>
      <c r="CE57" s="647"/>
      <c r="CF57" s="647"/>
    </row>
    <row r="58" spans="1:146" s="646" customFormat="1" ht="15.75" customHeight="1" thickBot="1" x14ac:dyDescent="0.25">
      <c r="A58" s="1384" t="s">
        <v>1050</v>
      </c>
      <c r="B58" s="1385"/>
      <c r="C58" s="1385"/>
      <c r="D58" s="1385"/>
      <c r="E58" s="1386"/>
      <c r="F58" s="1386"/>
      <c r="G58" s="1386"/>
      <c r="H58" s="1386"/>
      <c r="I58" s="1386"/>
      <c r="J58" s="2031" t="str">
        <f>IF(P7&gt;170,"Fehler",IF(G46&lt;R46,"ja","nein"))</f>
        <v>nein</v>
      </c>
      <c r="K58" s="2007"/>
      <c r="L58" s="2006" t="str">
        <f>IF(H46&lt;S46,"ja","nein")</f>
        <v>nein</v>
      </c>
      <c r="M58" s="2007"/>
      <c r="N58" s="1237"/>
      <c r="P58" s="647"/>
      <c r="Q58" s="647"/>
      <c r="R58" s="647"/>
      <c r="S58" s="647"/>
      <c r="T58" s="647"/>
      <c r="U58" s="647"/>
      <c r="V58" s="647"/>
      <c r="W58" s="647"/>
      <c r="X58" s="647"/>
      <c r="Y58" s="647"/>
      <c r="Z58" s="647"/>
      <c r="AA58" s="647"/>
      <c r="AB58" s="647"/>
      <c r="AC58" s="647"/>
      <c r="AD58" s="647"/>
      <c r="AE58" s="647"/>
      <c r="AF58" s="647"/>
      <c r="AG58" s="647"/>
      <c r="AH58" s="647"/>
      <c r="AI58" s="647"/>
      <c r="AJ58" s="647"/>
      <c r="AK58" s="647"/>
      <c r="AL58" s="647"/>
      <c r="AM58" s="647"/>
      <c r="AN58" s="647"/>
      <c r="AO58" s="647"/>
      <c r="AP58" s="647"/>
      <c r="AQ58" s="647"/>
      <c r="AR58" s="647"/>
      <c r="AS58" s="647"/>
      <c r="AT58" s="647"/>
      <c r="AU58" s="647"/>
      <c r="AV58" s="647"/>
      <c r="AW58" s="647"/>
      <c r="AX58" s="647"/>
      <c r="AY58" s="647"/>
      <c r="AZ58" s="647"/>
      <c r="BA58" s="647"/>
      <c r="BB58" s="647"/>
      <c r="BC58" s="647"/>
      <c r="BD58" s="647"/>
      <c r="BE58" s="647"/>
      <c r="BF58" s="647"/>
      <c r="BG58" s="647"/>
      <c r="BH58" s="647"/>
      <c r="BI58" s="647"/>
      <c r="BJ58" s="647"/>
      <c r="BK58" s="647"/>
      <c r="BL58" s="647"/>
      <c r="BM58" s="647"/>
      <c r="BN58" s="647"/>
      <c r="BO58" s="647"/>
      <c r="BP58" s="647"/>
      <c r="BQ58" s="647"/>
      <c r="BR58" s="647"/>
      <c r="BS58" s="647"/>
      <c r="BT58" s="647"/>
      <c r="BU58" s="647"/>
      <c r="BV58" s="647"/>
      <c r="BW58" s="647"/>
      <c r="BX58" s="648"/>
      <c r="BY58" s="648"/>
      <c r="BZ58" s="648"/>
      <c r="CA58" s="648"/>
      <c r="CB58" s="647"/>
      <c r="CC58" s="647"/>
      <c r="CD58" s="647"/>
      <c r="CE58" s="647"/>
      <c r="CF58" s="647"/>
    </row>
    <row r="59" spans="1:146" s="646" customFormat="1" ht="8.25" customHeight="1" x14ac:dyDescent="0.2">
      <c r="A59" s="324"/>
      <c r="B59" s="508"/>
      <c r="C59" s="508"/>
      <c r="D59" s="652"/>
      <c r="E59" s="653"/>
      <c r="F59" s="653"/>
      <c r="G59" s="653"/>
      <c r="H59" s="653"/>
      <c r="I59" s="651"/>
      <c r="J59" s="651"/>
      <c r="K59" s="651"/>
      <c r="L59" s="651"/>
      <c r="M59" s="651"/>
      <c r="N59" s="1237"/>
      <c r="P59" s="647"/>
      <c r="Q59" s="647"/>
      <c r="R59" s="647"/>
      <c r="S59" s="647"/>
      <c r="T59" s="647"/>
      <c r="U59" s="647"/>
      <c r="V59" s="647"/>
      <c r="W59" s="647"/>
      <c r="X59" s="647"/>
      <c r="Y59" s="647"/>
      <c r="Z59" s="647"/>
      <c r="AA59" s="647"/>
      <c r="AB59" s="647"/>
      <c r="AC59" s="647"/>
      <c r="AD59" s="647"/>
      <c r="AE59" s="647"/>
      <c r="AF59" s="647"/>
      <c r="AG59" s="647"/>
      <c r="AH59" s="647"/>
      <c r="AI59" s="647"/>
      <c r="AJ59" s="647"/>
      <c r="AK59" s="647"/>
      <c r="AL59" s="647"/>
      <c r="AM59" s="647"/>
      <c r="AN59" s="647"/>
      <c r="AO59" s="647"/>
      <c r="AP59" s="647"/>
      <c r="AQ59" s="647"/>
      <c r="AR59" s="647"/>
      <c r="AS59" s="647"/>
      <c r="AT59" s="647"/>
      <c r="AU59" s="647"/>
      <c r="AV59" s="647"/>
      <c r="AW59" s="647"/>
      <c r="AX59" s="647"/>
      <c r="AY59" s="647"/>
      <c r="AZ59" s="647"/>
      <c r="BA59" s="647"/>
      <c r="BB59" s="647"/>
      <c r="BC59" s="647"/>
      <c r="BD59" s="647"/>
      <c r="BE59" s="647"/>
      <c r="BF59" s="647"/>
      <c r="BG59" s="647"/>
      <c r="BH59" s="647"/>
      <c r="BI59" s="647"/>
      <c r="BJ59" s="647"/>
      <c r="BK59" s="647"/>
      <c r="BL59" s="647"/>
      <c r="BM59" s="647"/>
      <c r="BN59" s="647"/>
      <c r="BO59" s="647"/>
      <c r="BP59" s="647"/>
      <c r="BQ59" s="647"/>
      <c r="BR59" s="647"/>
      <c r="BS59" s="647"/>
      <c r="BT59" s="647"/>
      <c r="BU59" s="647"/>
      <c r="BV59" s="647"/>
      <c r="BW59" s="647"/>
      <c r="BX59" s="647"/>
      <c r="BY59" s="647"/>
      <c r="BZ59" s="648"/>
      <c r="CA59" s="648"/>
      <c r="CB59" s="648"/>
      <c r="CC59" s="648"/>
      <c r="CD59" s="647"/>
      <c r="CE59" s="647"/>
      <c r="CF59" s="647"/>
      <c r="CG59" s="647"/>
      <c r="CH59" s="647"/>
    </row>
    <row r="60" spans="1:146" s="646" customFormat="1" ht="8.25" customHeight="1" x14ac:dyDescent="0.2">
      <c r="A60" s="324"/>
      <c r="B60" s="508"/>
      <c r="C60" s="508"/>
      <c r="D60" s="652"/>
      <c r="E60" s="653"/>
      <c r="F60" s="653"/>
      <c r="G60" s="653"/>
      <c r="H60" s="653"/>
      <c r="I60" s="651"/>
      <c r="J60" s="651"/>
      <c r="K60" s="651"/>
      <c r="L60" s="651"/>
      <c r="M60" s="651"/>
      <c r="N60" s="1237"/>
      <c r="P60" s="647"/>
      <c r="Q60" s="647"/>
      <c r="R60" s="647"/>
      <c r="S60" s="647"/>
      <c r="T60" s="647"/>
      <c r="U60" s="647"/>
      <c r="V60" s="647"/>
      <c r="W60" s="647"/>
      <c r="X60" s="647"/>
      <c r="Y60" s="647"/>
      <c r="Z60" s="647"/>
      <c r="AA60" s="647"/>
      <c r="AB60" s="647"/>
      <c r="AC60" s="647"/>
      <c r="AD60" s="647"/>
      <c r="AE60" s="647"/>
      <c r="AF60" s="647"/>
      <c r="AG60" s="647"/>
      <c r="AH60" s="647"/>
      <c r="AI60" s="647"/>
      <c r="AJ60" s="647"/>
      <c r="AK60" s="647"/>
      <c r="AL60" s="647"/>
      <c r="AM60" s="647"/>
      <c r="AN60" s="647"/>
      <c r="AO60" s="647"/>
      <c r="AP60" s="647"/>
      <c r="AQ60" s="647"/>
      <c r="AR60" s="647"/>
      <c r="AS60" s="647"/>
      <c r="AT60" s="647"/>
      <c r="AU60" s="647"/>
      <c r="AV60" s="647"/>
      <c r="AW60" s="647"/>
      <c r="AX60" s="647"/>
      <c r="AY60" s="647"/>
      <c r="AZ60" s="647"/>
      <c r="BA60" s="647"/>
      <c r="BB60" s="647"/>
      <c r="BC60" s="647"/>
      <c r="BD60" s="647"/>
      <c r="BE60" s="647"/>
      <c r="BF60" s="647"/>
      <c r="BG60" s="647"/>
      <c r="BH60" s="647"/>
      <c r="BI60" s="647"/>
      <c r="BJ60" s="647"/>
      <c r="BK60" s="647"/>
      <c r="BL60" s="647"/>
      <c r="BM60" s="647"/>
      <c r="BN60" s="647"/>
      <c r="BO60" s="647"/>
      <c r="BP60" s="647"/>
      <c r="BQ60" s="647"/>
      <c r="BR60" s="647"/>
      <c r="BS60" s="647"/>
      <c r="BT60" s="647"/>
      <c r="BU60" s="647"/>
      <c r="BV60" s="647"/>
      <c r="BW60" s="647"/>
      <c r="BX60" s="647"/>
      <c r="BY60" s="647"/>
      <c r="BZ60" s="648"/>
      <c r="CA60" s="648"/>
      <c r="CB60" s="648"/>
      <c r="CC60" s="648"/>
      <c r="CD60" s="647"/>
      <c r="CE60" s="647"/>
      <c r="CF60" s="647"/>
      <c r="CG60" s="647"/>
      <c r="CH60" s="647"/>
    </row>
    <row r="61" spans="1:146" ht="8.25" customHeight="1" x14ac:dyDescent="0.2">
      <c r="A61" s="9"/>
      <c r="B61" s="516"/>
      <c r="C61" s="516"/>
      <c r="D61" s="9"/>
      <c r="E61" s="4"/>
      <c r="F61" s="4"/>
      <c r="G61" s="4"/>
      <c r="H61" s="14"/>
      <c r="I61" s="4"/>
      <c r="J61" s="4"/>
      <c r="K61" s="4"/>
      <c r="L61" s="4"/>
      <c r="M61" s="4"/>
      <c r="N61" s="4"/>
      <c r="U61" s="522"/>
      <c r="V61" s="522"/>
      <c r="W61" s="522"/>
      <c r="X61" s="522"/>
      <c r="AN61" s="527"/>
      <c r="AO61" s="527"/>
      <c r="AP61" s="527"/>
      <c r="AQ61" s="527"/>
      <c r="BT61" s="521"/>
      <c r="BU61" s="521"/>
      <c r="BV61" s="521"/>
      <c r="BW61" s="521"/>
      <c r="BZ61" s="522"/>
      <c r="CA61" s="522"/>
      <c r="CB61" s="522"/>
      <c r="CC61" s="522"/>
      <c r="CD61" s="521"/>
      <c r="CE61" s="521"/>
      <c r="CF61" s="521"/>
      <c r="CG61" s="521"/>
      <c r="CH61" s="521"/>
    </row>
    <row r="62" spans="1:146" s="407" customFormat="1" ht="16.5" customHeight="1" x14ac:dyDescent="0.2">
      <c r="A62" s="1108" t="s">
        <v>1027</v>
      </c>
      <c r="B62" s="689"/>
      <c r="C62" s="689"/>
      <c r="D62" s="689"/>
      <c r="E62" s="689"/>
      <c r="F62" s="689"/>
      <c r="G62" s="689"/>
      <c r="H62" s="689"/>
      <c r="I62" s="689"/>
      <c r="J62" s="689"/>
      <c r="K62" s="689"/>
      <c r="L62" s="689"/>
      <c r="M62" s="689"/>
      <c r="N62" s="1239"/>
      <c r="P62" s="528"/>
      <c r="Q62" s="528"/>
      <c r="R62" s="1956" t="s">
        <v>936</v>
      </c>
      <c r="S62" s="1956"/>
      <c r="T62" s="1956"/>
      <c r="U62" s="528"/>
      <c r="V62" s="528"/>
      <c r="W62" s="528"/>
      <c r="X62" s="528"/>
      <c r="Y62" s="528"/>
      <c r="Z62" s="528"/>
      <c r="AA62" s="528"/>
      <c r="AB62" s="534" t="s">
        <v>302</v>
      </c>
      <c r="AC62" s="528"/>
      <c r="AD62" s="528"/>
      <c r="AE62" s="528"/>
      <c r="AF62" s="528"/>
      <c r="AG62" s="528"/>
      <c r="AH62" s="528"/>
      <c r="AI62" s="528"/>
      <c r="AJ62" s="528"/>
      <c r="AK62" s="528"/>
      <c r="AL62" s="528"/>
      <c r="AM62" s="528"/>
      <c r="AN62" s="528"/>
      <c r="AO62" s="528"/>
      <c r="AP62" s="528"/>
      <c r="AQ62" s="528"/>
      <c r="AR62" s="528"/>
      <c r="AS62" s="528"/>
      <c r="AT62" s="528"/>
      <c r="AU62" s="528"/>
      <c r="AV62" s="528"/>
      <c r="AW62" s="528"/>
      <c r="AX62" s="528"/>
      <c r="AY62" s="528"/>
      <c r="AZ62" s="528"/>
      <c r="BA62" s="528"/>
      <c r="BB62" s="528"/>
      <c r="BC62" s="528"/>
      <c r="BD62" s="528"/>
      <c r="BE62" s="528"/>
      <c r="BF62" s="528"/>
      <c r="BG62" s="528"/>
      <c r="BH62" s="528"/>
      <c r="BI62" s="528"/>
      <c r="BJ62" s="528"/>
      <c r="BK62" s="528"/>
      <c r="BL62" s="528"/>
      <c r="BM62" s="528"/>
      <c r="BN62" s="528"/>
      <c r="BO62" s="528"/>
      <c r="BP62" s="528"/>
      <c r="BQ62" s="528"/>
      <c r="BR62" s="528"/>
      <c r="BS62" s="528"/>
      <c r="BT62" s="528"/>
      <c r="BU62" s="528"/>
      <c r="BV62" s="528"/>
      <c r="BW62" s="528"/>
      <c r="BX62" s="528"/>
      <c r="BY62" s="528"/>
      <c r="BZ62" s="528"/>
      <c r="CA62" s="528"/>
      <c r="CB62" s="528"/>
      <c r="CC62" s="528"/>
      <c r="CD62" s="529"/>
      <c r="CE62" s="529"/>
      <c r="CF62" s="529"/>
      <c r="CG62" s="529"/>
      <c r="CH62" s="528"/>
      <c r="CI62" s="528"/>
      <c r="CJ62" s="528"/>
      <c r="CK62" s="528"/>
      <c r="CT62" s="407" t="s">
        <v>882</v>
      </c>
      <c r="CW62" s="1956" t="s">
        <v>883</v>
      </c>
      <c r="CX62" s="1956"/>
      <c r="CY62" s="1956"/>
      <c r="CZ62" s="1956"/>
      <c r="DA62" s="1956"/>
      <c r="DB62" s="1956"/>
      <c r="DC62" s="1956" t="s">
        <v>884</v>
      </c>
      <c r="DD62" s="1956"/>
      <c r="DE62" s="1956"/>
      <c r="DF62" s="1956"/>
      <c r="DG62" s="1956"/>
      <c r="DH62" s="1104"/>
      <c r="DI62" s="1104"/>
      <c r="DJ62" s="407" t="s">
        <v>846</v>
      </c>
      <c r="DK62" s="407" t="s">
        <v>846</v>
      </c>
      <c r="DL62" s="1967" t="s">
        <v>846</v>
      </c>
      <c r="DM62" s="1967"/>
      <c r="DN62" s="1967"/>
      <c r="DO62" s="1967"/>
      <c r="DP62" s="1967"/>
      <c r="DQ62" s="1967"/>
      <c r="DR62" s="1041"/>
      <c r="DS62" s="1041"/>
      <c r="DT62" s="1041"/>
      <c r="DU62" s="1967" t="s">
        <v>927</v>
      </c>
      <c r="DV62" s="1967"/>
      <c r="DW62" s="1967"/>
      <c r="DX62" s="1967"/>
      <c r="DY62" s="1956" t="s">
        <v>509</v>
      </c>
      <c r="DZ62" s="1956"/>
      <c r="EA62" s="1956" t="s">
        <v>13</v>
      </c>
      <c r="EB62" s="1956"/>
      <c r="EC62" s="407" t="s">
        <v>916</v>
      </c>
      <c r="EH62" s="666" t="s">
        <v>530</v>
      </c>
      <c r="EI62" s="1030" t="s">
        <v>531</v>
      </c>
      <c r="EJ62" s="1030" t="s">
        <v>889</v>
      </c>
      <c r="EK62" s="1030" t="s">
        <v>531</v>
      </c>
      <c r="EL62" s="521" t="s">
        <v>895</v>
      </c>
      <c r="EM62" s="521"/>
      <c r="EN62" s="585" t="s">
        <v>893</v>
      </c>
      <c r="EO62" s="585" t="s">
        <v>894</v>
      </c>
      <c r="EP62" s="585" t="s">
        <v>899</v>
      </c>
    </row>
    <row r="63" spans="1:146" s="408" customFormat="1" ht="15" customHeight="1" thickBot="1" x14ac:dyDescent="0.25">
      <c r="A63" s="1"/>
      <c r="B63" s="1"/>
      <c r="C63" s="1"/>
      <c r="D63" s="1"/>
      <c r="E63" s="1"/>
      <c r="F63" s="1"/>
      <c r="G63" s="1"/>
      <c r="H63" s="1"/>
      <c r="I63" s="1"/>
      <c r="J63" s="1"/>
      <c r="K63" s="1"/>
      <c r="L63" s="1"/>
      <c r="M63" s="1"/>
      <c r="N63" s="1"/>
      <c r="P63" s="530"/>
      <c r="Q63" s="530"/>
      <c r="R63" s="533" t="s">
        <v>295</v>
      </c>
      <c r="S63" s="533" t="s">
        <v>295</v>
      </c>
      <c r="T63" s="533" t="s">
        <v>295</v>
      </c>
      <c r="U63" s="530"/>
      <c r="V63" s="530"/>
      <c r="W63" s="530"/>
      <c r="X63" s="530"/>
      <c r="Y63" s="530"/>
      <c r="Z63" s="530"/>
      <c r="AA63" s="530"/>
      <c r="AB63" s="530"/>
      <c r="AC63" s="530"/>
      <c r="AD63" s="530"/>
      <c r="AE63" s="530"/>
      <c r="AF63" s="530"/>
      <c r="AG63" s="530"/>
      <c r="AH63" s="530"/>
      <c r="AI63" s="530"/>
      <c r="AJ63" s="530"/>
      <c r="AK63" s="530"/>
      <c r="AL63" s="530"/>
      <c r="AM63" s="530"/>
      <c r="AN63" s="530"/>
      <c r="AO63" s="530"/>
      <c r="AP63" s="530"/>
      <c r="AQ63" s="530"/>
      <c r="AR63" s="530"/>
      <c r="AS63" s="530"/>
      <c r="AT63" s="530"/>
      <c r="AU63" s="530"/>
      <c r="AV63" s="530"/>
      <c r="AW63" s="530"/>
      <c r="AX63" s="530"/>
      <c r="AY63" s="530"/>
      <c r="AZ63" s="530"/>
      <c r="BA63" s="530"/>
      <c r="BB63" s="530"/>
      <c r="BC63" s="530"/>
      <c r="BD63" s="530"/>
      <c r="BE63" s="530"/>
      <c r="BF63" s="530"/>
      <c r="BG63" s="530"/>
      <c r="BH63" s="530"/>
      <c r="BI63" s="530"/>
      <c r="BJ63" s="530"/>
      <c r="BK63" s="530"/>
      <c r="BL63" s="530"/>
      <c r="BM63" s="530"/>
      <c r="BN63" s="530"/>
      <c r="BO63" s="530"/>
      <c r="BP63" s="530"/>
      <c r="BQ63" s="530"/>
      <c r="BR63" s="530"/>
      <c r="BS63" s="530"/>
      <c r="BT63" s="530"/>
      <c r="BU63" s="530"/>
      <c r="BV63" s="530"/>
      <c r="BW63" s="530"/>
      <c r="BX63" s="530"/>
      <c r="BY63" s="530"/>
      <c r="BZ63" s="530"/>
      <c r="CA63" s="530"/>
      <c r="CB63" s="530"/>
      <c r="CC63" s="530"/>
      <c r="CD63" s="531"/>
      <c r="CE63" s="531"/>
      <c r="CF63" s="531"/>
      <c r="CG63" s="531"/>
      <c r="CH63" s="530"/>
      <c r="CI63" s="530"/>
      <c r="CJ63" s="530"/>
      <c r="CK63" s="530"/>
      <c r="EH63" s="670" t="s">
        <v>538</v>
      </c>
      <c r="EI63" s="681"/>
      <c r="EJ63" s="681"/>
      <c r="EK63" s="681" t="s">
        <v>892</v>
      </c>
      <c r="EL63" s="521" t="s">
        <v>896</v>
      </c>
      <c r="EM63" s="521"/>
      <c r="EN63" s="1030" t="s">
        <v>531</v>
      </c>
      <c r="EO63" s="1030" t="s">
        <v>531</v>
      </c>
      <c r="EP63" s="1030"/>
    </row>
    <row r="64" spans="1:146" ht="15.75" customHeight="1" x14ac:dyDescent="0.2">
      <c r="A64" s="2074" t="s">
        <v>969</v>
      </c>
      <c r="B64" s="2075"/>
      <c r="C64" s="2075"/>
      <c r="D64" s="2076"/>
      <c r="E64" s="2027" t="s">
        <v>321</v>
      </c>
      <c r="F64" s="1902"/>
      <c r="G64" s="1902"/>
      <c r="H64" s="1902"/>
      <c r="I64" s="1902"/>
      <c r="J64" s="2035" t="s">
        <v>552</v>
      </c>
      <c r="K64" s="1902"/>
      <c r="L64" s="2036"/>
      <c r="M64" s="1116" t="s">
        <v>553</v>
      </c>
      <c r="N64" s="16"/>
      <c r="O64" s="20"/>
      <c r="P64" s="532"/>
      <c r="Q64" s="533" t="s">
        <v>295</v>
      </c>
      <c r="R64" s="533" t="s">
        <v>953</v>
      </c>
      <c r="S64" s="533" t="s">
        <v>509</v>
      </c>
      <c r="T64" s="533" t="s">
        <v>509</v>
      </c>
      <c r="U64" s="2001" t="s">
        <v>513</v>
      </c>
      <c r="V64" s="2001"/>
      <c r="W64" s="2001"/>
      <c r="X64" s="2001"/>
      <c r="Y64" s="532"/>
      <c r="Z64" s="553"/>
      <c r="AA64" s="554"/>
      <c r="AB64" s="1998" t="s">
        <v>952</v>
      </c>
      <c r="AC64" s="1999"/>
      <c r="AD64" s="1999"/>
      <c r="AE64" s="1999"/>
      <c r="AF64" s="1999"/>
      <c r="AG64" s="1999"/>
      <c r="AH64" s="1999"/>
      <c r="AI64" s="2000"/>
      <c r="AJ64" s="535"/>
      <c r="AK64" s="535"/>
      <c r="AL64" s="535"/>
      <c r="AM64" s="535"/>
      <c r="AN64" s="535"/>
      <c r="AO64" s="535"/>
      <c r="AP64" s="532"/>
      <c r="AQ64" s="532"/>
      <c r="AR64" s="532"/>
      <c r="AS64" s="532"/>
      <c r="AT64" s="532"/>
      <c r="AU64" s="532"/>
      <c r="AV64" s="532"/>
      <c r="AW64" s="532"/>
      <c r="AX64" s="532"/>
      <c r="AY64" s="532"/>
      <c r="AZ64" s="532"/>
      <c r="BA64" s="532"/>
      <c r="BB64" s="532"/>
      <c r="BC64" s="532"/>
      <c r="BD64" s="532"/>
      <c r="BE64" s="532"/>
      <c r="BG64" s="532"/>
      <c r="BH64" s="532"/>
      <c r="BI64" s="532"/>
      <c r="BJ64" s="532"/>
      <c r="BK64" s="532"/>
      <c r="BL64" s="532"/>
      <c r="BM64" s="532"/>
      <c r="BN64" s="532"/>
      <c r="BO64" s="532"/>
      <c r="BP64" s="532"/>
      <c r="BQ64" s="532"/>
      <c r="BR64" s="532"/>
      <c r="BS64" s="532"/>
      <c r="BT64" s="532"/>
      <c r="BU64" s="532"/>
      <c r="BV64" s="532"/>
      <c r="BW64" s="532"/>
      <c r="BX64" s="532"/>
      <c r="BY64" s="532"/>
      <c r="BZ64" s="532"/>
      <c r="CA64" s="532"/>
      <c r="CB64" s="532"/>
      <c r="CC64" s="532"/>
      <c r="CD64" s="532"/>
      <c r="CE64" s="532"/>
      <c r="CF64" s="532"/>
      <c r="CG64" s="532"/>
      <c r="CH64" s="2298" t="s">
        <v>937</v>
      </c>
      <c r="CI64" s="2298"/>
      <c r="CJ64" s="532"/>
      <c r="CK64" s="532"/>
      <c r="CL64" s="532"/>
      <c r="CM64" s="532"/>
      <c r="CN64" s="532"/>
      <c r="CO64" s="532"/>
      <c r="CP64" s="20"/>
      <c r="CQ64" s="20"/>
      <c r="CR64" s="20"/>
      <c r="CS64" s="20"/>
      <c r="CT64" s="20"/>
      <c r="CU64" s="20"/>
      <c r="CV64" s="20"/>
      <c r="CW64" s="1964" t="s">
        <v>312</v>
      </c>
      <c r="CX64" s="1964"/>
      <c r="CY64" s="1964"/>
      <c r="CZ64" s="1964" t="s">
        <v>959</v>
      </c>
      <c r="DA64" s="1964"/>
      <c r="DB64" s="1964"/>
      <c r="DC64" s="20"/>
      <c r="DD64" s="20"/>
      <c r="DE64" s="20"/>
      <c r="DF64" s="20"/>
      <c r="DG64" s="20"/>
      <c r="DH64" s="20"/>
      <c r="DI64" s="20"/>
      <c r="DJ64" s="20"/>
      <c r="DK64" s="20"/>
      <c r="DL64" s="181" t="s">
        <v>689</v>
      </c>
      <c r="DM64" s="181" t="s">
        <v>847</v>
      </c>
      <c r="DN64" s="181" t="s">
        <v>645</v>
      </c>
      <c r="DO64" s="181" t="s">
        <v>689</v>
      </c>
      <c r="DP64" s="181" t="s">
        <v>847</v>
      </c>
      <c r="DQ64" s="181" t="s">
        <v>645</v>
      </c>
      <c r="DR64" s="181" t="s">
        <v>992</v>
      </c>
      <c r="DS64" s="181"/>
      <c r="DT64" s="181"/>
      <c r="DU64" s="181" t="s">
        <v>887</v>
      </c>
      <c r="DV64" s="181"/>
      <c r="DW64" s="1967" t="s">
        <v>13</v>
      </c>
      <c r="DX64" s="1985"/>
      <c r="DY64" s="665" t="s">
        <v>534</v>
      </c>
      <c r="DZ64" s="1032" t="s">
        <v>531</v>
      </c>
      <c r="EA64" s="665" t="s">
        <v>534</v>
      </c>
      <c r="EB64" s="1032" t="s">
        <v>531</v>
      </c>
      <c r="EC64" s="633" t="s">
        <v>355</v>
      </c>
      <c r="ED64" s="633" t="s">
        <v>221</v>
      </c>
      <c r="EE64" s="633" t="s">
        <v>357</v>
      </c>
      <c r="EF64" s="633" t="s">
        <v>349</v>
      </c>
      <c r="EG64" s="633" t="s">
        <v>890</v>
      </c>
      <c r="EH64" s="670" t="s">
        <v>891</v>
      </c>
      <c r="EI64" s="521"/>
      <c r="EJ64" s="521"/>
      <c r="EK64" s="521"/>
      <c r="EL64" s="521" t="s">
        <v>897</v>
      </c>
      <c r="EM64" s="521" t="s">
        <v>357</v>
      </c>
      <c r="EN64" s="681" t="s">
        <v>892</v>
      </c>
      <c r="EO64" s="681" t="s">
        <v>892</v>
      </c>
      <c r="EP64" s="550" t="s">
        <v>356</v>
      </c>
    </row>
    <row r="65" spans="1:146" ht="15.75" customHeight="1" x14ac:dyDescent="0.2">
      <c r="A65" s="2077"/>
      <c r="B65" s="2078"/>
      <c r="C65" s="2078"/>
      <c r="D65" s="2079"/>
      <c r="E65" s="422" t="s">
        <v>0</v>
      </c>
      <c r="F65" s="2039" t="s">
        <v>47</v>
      </c>
      <c r="G65" s="1896"/>
      <c r="H65" s="1895" t="s">
        <v>35</v>
      </c>
      <c r="I65" s="1913"/>
      <c r="J65" s="691" t="s">
        <v>43</v>
      </c>
      <c r="K65" s="2040" t="s">
        <v>41</v>
      </c>
      <c r="L65" s="2041"/>
      <c r="M65" s="1118" t="s">
        <v>554</v>
      </c>
      <c r="N65" s="16"/>
      <c r="O65" s="20"/>
      <c r="P65" s="532"/>
      <c r="Q65" s="533" t="s">
        <v>323</v>
      </c>
      <c r="R65" s="532" t="s">
        <v>511</v>
      </c>
      <c r="S65" s="532" t="s">
        <v>511</v>
      </c>
      <c r="T65" s="532" t="s">
        <v>510</v>
      </c>
      <c r="U65" s="2002" t="s">
        <v>510</v>
      </c>
      <c r="V65" s="2003"/>
      <c r="W65" s="1998" t="s">
        <v>511</v>
      </c>
      <c r="X65" s="1999"/>
      <c r="Y65" s="1999"/>
      <c r="Z65" s="1998" t="s">
        <v>342</v>
      </c>
      <c r="AA65" s="2000"/>
      <c r="AB65" s="2002" t="s">
        <v>510</v>
      </c>
      <c r="AC65" s="1884"/>
      <c r="AD65" s="1884"/>
      <c r="AE65" s="1884"/>
      <c r="AF65" s="1884" t="s">
        <v>511</v>
      </c>
      <c r="AG65" s="1884"/>
      <c r="AH65" s="1884"/>
      <c r="AI65" s="1884"/>
      <c r="AJ65" s="540" t="s">
        <v>0</v>
      </c>
      <c r="AK65" s="540" t="s">
        <v>11</v>
      </c>
      <c r="AL65" s="2037" t="s">
        <v>881</v>
      </c>
      <c r="AM65" s="2037"/>
      <c r="AN65" s="2037"/>
      <c r="AO65" s="2037"/>
      <c r="AP65" s="2037"/>
      <c r="AQ65" s="2038"/>
      <c r="AR65" s="540" t="s">
        <v>303</v>
      </c>
      <c r="AS65" s="2037" t="s">
        <v>294</v>
      </c>
      <c r="AT65" s="2037"/>
      <c r="AU65" s="2037"/>
      <c r="AV65" s="2037"/>
      <c r="AW65" s="2037"/>
      <c r="AX65" s="2038"/>
      <c r="AY65" s="532"/>
      <c r="AZ65" s="2024" t="s">
        <v>299</v>
      </c>
      <c r="BA65" s="2025"/>
      <c r="BB65" s="2025"/>
      <c r="BC65" s="2025"/>
      <c r="BD65" s="2025"/>
      <c r="BE65" s="2026"/>
      <c r="BF65" s="537" t="s">
        <v>295</v>
      </c>
      <c r="BG65" s="539" t="s">
        <v>295</v>
      </c>
      <c r="BH65" s="537"/>
      <c r="BI65" s="538"/>
      <c r="BJ65" s="539"/>
      <c r="BK65" s="542"/>
      <c r="BL65" s="543"/>
      <c r="BM65" s="543"/>
      <c r="BN65" s="543"/>
      <c r="BO65" s="543"/>
      <c r="BP65" s="543"/>
      <c r="BQ65" s="2275" t="s">
        <v>310</v>
      </c>
      <c r="BR65" s="2037"/>
      <c r="BS65" s="2038"/>
      <c r="BT65" s="532"/>
      <c r="BU65" s="532"/>
      <c r="BV65" s="532"/>
      <c r="BW65" s="532"/>
      <c r="BX65" s="532"/>
      <c r="BY65" s="532"/>
      <c r="BZ65" s="532"/>
      <c r="CA65" s="532"/>
      <c r="CB65" s="532"/>
      <c r="CC65" s="532"/>
      <c r="CD65" s="532"/>
      <c r="CE65" s="532"/>
      <c r="CF65" s="532"/>
      <c r="CG65" s="532"/>
      <c r="CH65" s="538" t="s">
        <v>938</v>
      </c>
      <c r="CI65" s="406" t="s">
        <v>643</v>
      </c>
      <c r="CJ65" s="532"/>
      <c r="CK65" s="532"/>
      <c r="CL65" s="532"/>
      <c r="CM65" s="532"/>
      <c r="CN65" s="532"/>
      <c r="CO65" s="532"/>
      <c r="CP65" s="20"/>
      <c r="CQ65" s="20"/>
      <c r="CR65" s="20"/>
      <c r="CS65" s="20"/>
      <c r="CT65" s="20"/>
      <c r="CU65" s="20"/>
      <c r="CV65" s="20"/>
      <c r="CW65" s="20"/>
      <c r="CX65" s="20"/>
      <c r="CY65" s="20"/>
      <c r="CZ65" s="20"/>
      <c r="DA65" s="20"/>
      <c r="DB65" s="20"/>
      <c r="DC65" s="20"/>
      <c r="DD65" s="20"/>
      <c r="DE65" s="20"/>
      <c r="DF65" s="20"/>
      <c r="DG65" s="20"/>
      <c r="DH65" s="1964" t="s">
        <v>1002</v>
      </c>
      <c r="DI65" s="1964"/>
      <c r="DJ65" s="20"/>
      <c r="DK65" s="20"/>
      <c r="DL65" s="181"/>
      <c r="DM65" s="181" t="s">
        <v>848</v>
      </c>
      <c r="DN65" s="181" t="s">
        <v>675</v>
      </c>
      <c r="DO65" s="181"/>
      <c r="DP65" s="181" t="s">
        <v>848</v>
      </c>
      <c r="DQ65" s="181" t="s">
        <v>675</v>
      </c>
      <c r="DR65" s="181" t="s">
        <v>907</v>
      </c>
      <c r="DS65" s="181"/>
      <c r="DT65" s="181"/>
      <c r="DU65" s="181" t="s">
        <v>886</v>
      </c>
      <c r="DV65" s="181" t="s">
        <v>355</v>
      </c>
      <c r="DW65" s="181" t="s">
        <v>886</v>
      </c>
      <c r="DX65" s="181" t="s">
        <v>355</v>
      </c>
      <c r="DY65" s="669" t="s">
        <v>540</v>
      </c>
      <c r="DZ65" s="1033" t="s">
        <v>854</v>
      </c>
      <c r="EA65" s="669" t="s">
        <v>540</v>
      </c>
      <c r="EB65" s="1033" t="s">
        <v>854</v>
      </c>
      <c r="EH65" s="670"/>
      <c r="EI65" s="681" t="s">
        <v>40</v>
      </c>
      <c r="EJ65" s="681" t="s">
        <v>40</v>
      </c>
      <c r="EK65" s="1066" t="s">
        <v>40</v>
      </c>
      <c r="EL65" s="521"/>
      <c r="EM65" s="521" t="s">
        <v>2</v>
      </c>
      <c r="EN65" s="585" t="s">
        <v>40</v>
      </c>
      <c r="EO65" s="585" t="s">
        <v>40</v>
      </c>
      <c r="EP65" s="681"/>
    </row>
    <row r="66" spans="1:146" ht="15.75" customHeight="1" x14ac:dyDescent="0.2">
      <c r="A66" s="2077"/>
      <c r="B66" s="2078"/>
      <c r="C66" s="2078"/>
      <c r="D66" s="2079"/>
      <c r="E66" s="423"/>
      <c r="F66" s="424"/>
      <c r="G66" s="425" t="s">
        <v>48</v>
      </c>
      <c r="H66" s="426" t="s">
        <v>46</v>
      </c>
      <c r="I66" s="427" t="s">
        <v>45</v>
      </c>
      <c r="J66" s="691" t="s">
        <v>11</v>
      </c>
      <c r="K66" s="2040" t="s">
        <v>42</v>
      </c>
      <c r="L66" s="2041"/>
      <c r="M66" s="1118" t="s">
        <v>555</v>
      </c>
      <c r="N66" s="16"/>
      <c r="O66" s="20"/>
      <c r="P66" s="532"/>
      <c r="Q66" s="532" t="s">
        <v>935</v>
      </c>
      <c r="R66" s="533" t="s">
        <v>300</v>
      </c>
      <c r="S66" s="533" t="s">
        <v>300</v>
      </c>
      <c r="T66" s="533" t="s">
        <v>300</v>
      </c>
      <c r="U66" s="532" t="s">
        <v>0</v>
      </c>
      <c r="V66" s="532" t="s">
        <v>212</v>
      </c>
      <c r="W66" s="532" t="s">
        <v>0</v>
      </c>
      <c r="X66" s="532" t="s">
        <v>212</v>
      </c>
      <c r="Y66" s="533" t="s">
        <v>212</v>
      </c>
      <c r="Z66" s="544" t="s">
        <v>0</v>
      </c>
      <c r="AA66" s="536" t="s">
        <v>13</v>
      </c>
      <c r="AB66" s="544" t="s">
        <v>4</v>
      </c>
      <c r="AC66" s="533" t="s">
        <v>4</v>
      </c>
      <c r="AD66" s="533" t="s">
        <v>304</v>
      </c>
      <c r="AE66" s="536" t="s">
        <v>6</v>
      </c>
      <c r="AF66" s="544" t="s">
        <v>4</v>
      </c>
      <c r="AG66" s="533" t="s">
        <v>4</v>
      </c>
      <c r="AH66" s="533" t="s">
        <v>304</v>
      </c>
      <c r="AI66" s="536" t="s">
        <v>6</v>
      </c>
      <c r="AJ66" s="545" t="s">
        <v>349</v>
      </c>
      <c r="AK66" s="545" t="s">
        <v>349</v>
      </c>
      <c r="AL66" s="2001" t="s">
        <v>510</v>
      </c>
      <c r="AM66" s="2001"/>
      <c r="AN66" s="2001"/>
      <c r="AO66" s="1884" t="s">
        <v>511</v>
      </c>
      <c r="AP66" s="1884"/>
      <c r="AQ66" s="1884"/>
      <c r="AR66" s="546" t="s">
        <v>349</v>
      </c>
      <c r="AS66" s="1884" t="s">
        <v>510</v>
      </c>
      <c r="AT66" s="1884"/>
      <c r="AU66" s="1884"/>
      <c r="AV66" s="1884" t="s">
        <v>511</v>
      </c>
      <c r="AW66" s="1884"/>
      <c r="AX66" s="1884"/>
      <c r="AY66" s="532"/>
      <c r="AZ66" s="2002" t="s">
        <v>510</v>
      </c>
      <c r="BA66" s="2014"/>
      <c r="BB66" s="2003"/>
      <c r="BC66" s="1998" t="s">
        <v>511</v>
      </c>
      <c r="BD66" s="1999"/>
      <c r="BE66" s="2000"/>
      <c r="BF66" s="544" t="s">
        <v>11</v>
      </c>
      <c r="BG66" s="536" t="s">
        <v>13</v>
      </c>
      <c r="BH66" s="1998" t="s">
        <v>306</v>
      </c>
      <c r="BI66" s="1999"/>
      <c r="BJ66" s="2000"/>
      <c r="BK66" s="547"/>
      <c r="BL66" s="548"/>
      <c r="BM66" s="548"/>
      <c r="BN66" s="547" t="s">
        <v>213</v>
      </c>
      <c r="BO66" s="547" t="s">
        <v>213</v>
      </c>
      <c r="BP66" s="547" t="s">
        <v>213</v>
      </c>
      <c r="BQ66" s="549"/>
      <c r="BR66" s="550"/>
      <c r="BS66" s="551"/>
      <c r="BT66" s="537" t="s">
        <v>0</v>
      </c>
      <c r="BU66" s="539" t="s">
        <v>11</v>
      </c>
      <c r="BV66" s="2275" t="s">
        <v>13</v>
      </c>
      <c r="BW66" s="2037"/>
      <c r="BX66" s="2038"/>
      <c r="BY66" s="2275" t="s">
        <v>296</v>
      </c>
      <c r="BZ66" s="2038"/>
      <c r="CA66" s="542" t="s">
        <v>322</v>
      </c>
      <c r="CB66" s="2275" t="s">
        <v>336</v>
      </c>
      <c r="CC66" s="2037"/>
      <c r="CD66" s="2038"/>
      <c r="CE66" s="2275" t="s">
        <v>333</v>
      </c>
      <c r="CF66" s="2037"/>
      <c r="CG66" s="2038"/>
      <c r="CI66" s="539" t="s">
        <v>939</v>
      </c>
      <c r="CJ66" s="552" t="s">
        <v>351</v>
      </c>
      <c r="CK66" s="541" t="s">
        <v>353</v>
      </c>
      <c r="CL66" s="532"/>
      <c r="CM66" s="532"/>
      <c r="CN66" s="532"/>
      <c r="CO66" s="533" t="s">
        <v>505</v>
      </c>
      <c r="CP66" s="20"/>
      <c r="CQ66" s="20"/>
      <c r="CR66" s="1964" t="s">
        <v>508</v>
      </c>
      <c r="CS66" s="1964"/>
      <c r="CT66" s="517" t="s">
        <v>4</v>
      </c>
      <c r="CU66" s="517" t="s">
        <v>5</v>
      </c>
      <c r="CV66" s="517" t="s">
        <v>6</v>
      </c>
      <c r="CW66" s="517" t="s">
        <v>4</v>
      </c>
      <c r="CX66" s="517" t="s">
        <v>5</v>
      </c>
      <c r="CY66" s="517" t="s">
        <v>6</v>
      </c>
      <c r="CZ66" s="517" t="s">
        <v>4</v>
      </c>
      <c r="DA66" s="517" t="s">
        <v>5</v>
      </c>
      <c r="DB66" s="517" t="s">
        <v>6</v>
      </c>
      <c r="DC66" s="517" t="s">
        <v>4</v>
      </c>
      <c r="DD66" s="517" t="s">
        <v>5</v>
      </c>
      <c r="DE66" s="517" t="s">
        <v>6</v>
      </c>
      <c r="DF66" s="517" t="s">
        <v>4</v>
      </c>
      <c r="DG66" s="517" t="s">
        <v>932</v>
      </c>
      <c r="DH66" s="1964" t="s">
        <v>1003</v>
      </c>
      <c r="DI66" s="1964"/>
      <c r="DJ66" s="20"/>
      <c r="DK66" s="20"/>
      <c r="DL66" s="181" t="s">
        <v>2</v>
      </c>
      <c r="DM66" s="181" t="s">
        <v>691</v>
      </c>
      <c r="DN66" s="181" t="s">
        <v>2</v>
      </c>
      <c r="DO66" s="181" t="s">
        <v>2</v>
      </c>
      <c r="DP66" s="181" t="s">
        <v>691</v>
      </c>
      <c r="DQ66" s="181" t="s">
        <v>2</v>
      </c>
      <c r="DR66" s="181" t="s">
        <v>906</v>
      </c>
      <c r="DS66" s="181"/>
      <c r="DT66" s="181"/>
      <c r="DU66" s="181" t="s">
        <v>2</v>
      </c>
      <c r="DV66" s="181"/>
      <c r="DW66" s="181" t="s">
        <v>2</v>
      </c>
      <c r="DX66" s="181"/>
      <c r="DY66" s="686" t="s">
        <v>520</v>
      </c>
      <c r="DZ66" s="1034" t="s">
        <v>539</v>
      </c>
      <c r="EA66" s="686" t="s">
        <v>520</v>
      </c>
      <c r="EB66" s="1034" t="s">
        <v>539</v>
      </c>
      <c r="EC66" s="633" t="s">
        <v>40</v>
      </c>
      <c r="ED66" s="633" t="s">
        <v>917</v>
      </c>
      <c r="EE66" s="633" t="s">
        <v>40</v>
      </c>
      <c r="EG66" s="633" t="s">
        <v>40</v>
      </c>
    </row>
    <row r="67" spans="1:146" ht="15.75" customHeight="1" thickBot="1" x14ac:dyDescent="0.25">
      <c r="A67" s="2080"/>
      <c r="B67" s="2081"/>
      <c r="C67" s="2081"/>
      <c r="D67" s="2082"/>
      <c r="E67" s="428" t="s">
        <v>14</v>
      </c>
      <c r="F67" s="429" t="s">
        <v>14</v>
      </c>
      <c r="G67" s="430" t="s">
        <v>34</v>
      </c>
      <c r="H67" s="1240" t="s">
        <v>36</v>
      </c>
      <c r="I67" s="1119" t="s">
        <v>36</v>
      </c>
      <c r="J67" s="1124" t="s">
        <v>1</v>
      </c>
      <c r="K67" s="2266" t="s">
        <v>301</v>
      </c>
      <c r="L67" s="2267"/>
      <c r="M67" s="1120" t="s">
        <v>556</v>
      </c>
      <c r="N67" s="16"/>
      <c r="O67" s="20"/>
      <c r="P67" s="532"/>
      <c r="Q67" s="533" t="s">
        <v>300</v>
      </c>
      <c r="S67" s="533"/>
      <c r="U67" s="532"/>
      <c r="V67" s="532"/>
      <c r="W67" s="532"/>
      <c r="X67" s="532"/>
      <c r="Y67" s="533" t="s">
        <v>1</v>
      </c>
      <c r="Z67" s="544" t="s">
        <v>14</v>
      </c>
      <c r="AA67" s="536" t="s">
        <v>14</v>
      </c>
      <c r="AB67" s="553"/>
      <c r="AC67" s="533" t="s">
        <v>227</v>
      </c>
      <c r="AD67" s="532"/>
      <c r="AE67" s="554"/>
      <c r="AF67" s="553"/>
      <c r="AG67" s="533" t="s">
        <v>227</v>
      </c>
      <c r="AH67" s="532"/>
      <c r="AI67" s="554"/>
      <c r="AJ67" s="555"/>
      <c r="AK67" s="555"/>
      <c r="AL67" s="544" t="s">
        <v>4</v>
      </c>
      <c r="AM67" s="533" t="s">
        <v>304</v>
      </c>
      <c r="AN67" s="536" t="s">
        <v>6</v>
      </c>
      <c r="AO67" s="544" t="s">
        <v>4</v>
      </c>
      <c r="AP67" s="533" t="s">
        <v>304</v>
      </c>
      <c r="AQ67" s="536" t="s">
        <v>6</v>
      </c>
      <c r="AR67" s="545"/>
      <c r="AS67" s="544" t="s">
        <v>4</v>
      </c>
      <c r="AT67" s="533" t="s">
        <v>304</v>
      </c>
      <c r="AU67" s="536" t="s">
        <v>6</v>
      </c>
      <c r="AV67" s="544" t="s">
        <v>4</v>
      </c>
      <c r="AW67" s="533" t="s">
        <v>304</v>
      </c>
      <c r="AX67" s="536" t="s">
        <v>6</v>
      </c>
      <c r="AY67" s="532"/>
      <c r="AZ67" s="635" t="s">
        <v>512</v>
      </c>
      <c r="BA67" s="636" t="s">
        <v>13</v>
      </c>
      <c r="BB67" s="636" t="s">
        <v>514</v>
      </c>
      <c r="BC67" s="544" t="s">
        <v>0</v>
      </c>
      <c r="BD67" s="533" t="s">
        <v>13</v>
      </c>
      <c r="BE67" s="634" t="s">
        <v>514</v>
      </c>
      <c r="BF67" s="544"/>
      <c r="BG67" s="536"/>
      <c r="BH67" s="544" t="s">
        <v>4</v>
      </c>
      <c r="BI67" s="533" t="s">
        <v>304</v>
      </c>
      <c r="BJ67" s="536" t="s">
        <v>6</v>
      </c>
      <c r="BK67" s="547" t="s">
        <v>305</v>
      </c>
      <c r="BL67" s="547" t="s">
        <v>298</v>
      </c>
      <c r="BM67" s="547" t="s">
        <v>294</v>
      </c>
      <c r="BN67" s="547"/>
      <c r="BO67" s="547"/>
      <c r="BP67" s="547" t="s">
        <v>312</v>
      </c>
      <c r="BQ67" s="544" t="s">
        <v>4</v>
      </c>
      <c r="BR67" s="533" t="s">
        <v>304</v>
      </c>
      <c r="BS67" s="536" t="s">
        <v>6</v>
      </c>
      <c r="BT67" s="556" t="s">
        <v>295</v>
      </c>
      <c r="BU67" s="557" t="s">
        <v>295</v>
      </c>
      <c r="BV67" s="556" t="s">
        <v>37</v>
      </c>
      <c r="BW67" s="558" t="s">
        <v>38</v>
      </c>
      <c r="BX67" s="557" t="s">
        <v>39</v>
      </c>
      <c r="BY67" s="556" t="s">
        <v>0</v>
      </c>
      <c r="BZ67" s="557" t="s">
        <v>297</v>
      </c>
      <c r="CA67" s="559" t="s">
        <v>13</v>
      </c>
      <c r="CB67" s="556" t="s">
        <v>332</v>
      </c>
      <c r="CC67" s="558" t="s">
        <v>38</v>
      </c>
      <c r="CD67" s="557" t="s">
        <v>39</v>
      </c>
      <c r="CE67" s="556" t="s">
        <v>4</v>
      </c>
      <c r="CF67" s="558" t="s">
        <v>304</v>
      </c>
      <c r="CG67" s="557" t="s">
        <v>6</v>
      </c>
      <c r="CH67" s="558" t="s">
        <v>346</v>
      </c>
      <c r="CI67" s="536" t="s">
        <v>346</v>
      </c>
      <c r="CJ67" s="553" t="s">
        <v>352</v>
      </c>
      <c r="CK67" s="554" t="s">
        <v>354</v>
      </c>
      <c r="CL67" s="532"/>
      <c r="CM67" s="533" t="s">
        <v>885</v>
      </c>
      <c r="CN67" s="532"/>
      <c r="CO67" s="533" t="s">
        <v>0</v>
      </c>
      <c r="CP67" s="517" t="s">
        <v>11</v>
      </c>
      <c r="CQ67" s="517" t="s">
        <v>13</v>
      </c>
      <c r="CR67" s="633" t="s">
        <v>509</v>
      </c>
      <c r="CS67" s="517" t="s">
        <v>13</v>
      </c>
      <c r="DF67" s="517" t="s">
        <v>0</v>
      </c>
      <c r="DG67" s="517" t="s">
        <v>13</v>
      </c>
      <c r="DH67" s="517" t="s">
        <v>0</v>
      </c>
      <c r="DI67" s="633" t="s">
        <v>312</v>
      </c>
      <c r="DJ67" s="20"/>
      <c r="DK67" s="20"/>
      <c r="DL67" s="2296" t="s">
        <v>509</v>
      </c>
      <c r="DM67" s="2296"/>
      <c r="DN67" s="2296"/>
      <c r="DO67" s="2297" t="s">
        <v>13</v>
      </c>
      <c r="DP67" s="2297"/>
      <c r="DQ67" s="2297"/>
      <c r="DR67" s="1041" t="s">
        <v>0</v>
      </c>
      <c r="DS67" s="1041" t="s">
        <v>13</v>
      </c>
      <c r="DT67" s="1041"/>
      <c r="DU67" s="1041"/>
      <c r="DV67" s="1041"/>
      <c r="DW67" s="1041"/>
      <c r="DX67" s="1041"/>
    </row>
    <row r="68" spans="1:146" ht="18" customHeight="1" x14ac:dyDescent="0.2">
      <c r="A68" s="2033"/>
      <c r="B68" s="2034"/>
      <c r="C68" s="2034"/>
      <c r="D68" s="2114"/>
      <c r="E68" s="442"/>
      <c r="F68" s="449"/>
      <c r="G68" s="350"/>
      <c r="H68" s="442"/>
      <c r="I68" s="453"/>
      <c r="J68" s="692" t="str">
        <f>IF(U68+W68=0," ",(U68+W68)/2)</f>
        <v xml:space="preserve"> </v>
      </c>
      <c r="K68" s="1947" t="str">
        <f t="shared" ref="K68:K81" si="1">IF(V68+X68=0," ",(V68+X68)/2)</f>
        <v xml:space="preserve"> </v>
      </c>
      <c r="L68" s="1948"/>
      <c r="M68" s="1249"/>
      <c r="N68" s="19"/>
      <c r="O68" s="19"/>
      <c r="P68" s="560"/>
      <c r="Q68" s="560" t="str">
        <f t="shared" ref="Q68:Q81" si="2">IF(K68=" "," ",(K68*(1/CA68)))</f>
        <v xml:space="preserve"> </v>
      </c>
      <c r="R68" s="560" t="str">
        <f t="shared" ref="R68:R87" si="3">IF(DK68=1,0,Y68)</f>
        <v xml:space="preserve"> </v>
      </c>
      <c r="S68" s="560">
        <f>IF(DK68=1,0,W68)</f>
        <v>0</v>
      </c>
      <c r="T68" s="641">
        <f>IF(DK68=1,0,U68)</f>
        <v>0</v>
      </c>
      <c r="U68" s="560">
        <f t="shared" ref="U68:U81" si="4">IF(CM68=FALSE,0,IF(Z68+AA68=0,0,IF(AZ68*BT68+BA68*BF68=0,0,AZ68*BT68+BA68*BF68)))</f>
        <v>0</v>
      </c>
      <c r="V68" s="560">
        <f t="shared" ref="V68:V81" si="5">IF(CM68=FALSE,0,IF(AA68=0,0,IF(BD68+BA68=0,0,IF(BK68=4,BA68*BG68-(E68*(1-H68/100)*BG68)*((1220/1000)/(2*11)),BA68*BG68))))</f>
        <v>0</v>
      </c>
      <c r="W68" s="560">
        <f t="shared" ref="W68:W81" si="6">IF(CM68=FALSE,0,IF(Z68+AA68=0,0,IF(BC68*BT68+BD68*BF68=0,0,BC68*BT68+BD68*BF68)))</f>
        <v>0</v>
      </c>
      <c r="X68" s="560">
        <f t="shared" ref="X68:X81" si="7">IF(CM68=FALSE,0,IF(AA68=0,0,IF(BD68+BA68=0,0,IF(BK68=4,BD68*BG68-(E68*(1-I68/100)*BG68)*((1220/1000)/(2*11)),BD68*BG68))))</f>
        <v>0</v>
      </c>
      <c r="Y68" s="560" t="str">
        <f t="shared" ref="Y68:Y81" si="8">IF(X68=0," ",(X68*(1/CA68)))</f>
        <v xml:space="preserve"> </v>
      </c>
      <c r="Z68" s="561">
        <f t="shared" ref="Z68:Z81" si="9">IF(BT68=0,0,E68)</f>
        <v>0</v>
      </c>
      <c r="AA68" s="562">
        <f t="shared" ref="AA68:AA81" si="10">IF(BT68=0,E68+F68,F68)</f>
        <v>0</v>
      </c>
      <c r="AB68" s="641">
        <f>+(AZ68*BQ68*(100-BY68)/100)+(BF68*BH68*BA68)</f>
        <v>0</v>
      </c>
      <c r="AC68" s="641">
        <f>IF(BK68=2,AB68,0)</f>
        <v>0</v>
      </c>
      <c r="AD68" s="641">
        <f>AZ68*BR68+BA68*BF68*BI68</f>
        <v>0</v>
      </c>
      <c r="AE68" s="641">
        <f>AZ68*BS68+BA68*BF68*BJ68</f>
        <v>0</v>
      </c>
      <c r="AF68" s="563">
        <f t="shared" ref="AF68:AF81" si="11">+(BC68*BQ68*(100-BY68)/100)+(BF68*BH68*BD68)</f>
        <v>0</v>
      </c>
      <c r="AG68" s="560">
        <f t="shared" ref="AG68:AG81" si="12">IF(BK68=2,AF68,0)</f>
        <v>0</v>
      </c>
      <c r="AH68" s="560">
        <f t="shared" ref="AH68:AH81" si="13">BC68*BR68+BD68*BF68*BI68</f>
        <v>0</v>
      </c>
      <c r="AI68" s="564">
        <f t="shared" ref="AI68:AI81" si="14">BC68*BS68+BD68*BF68*BJ68</f>
        <v>0</v>
      </c>
      <c r="AJ68" s="1317">
        <f>INDEX(Tiere!K$30:K$79,'Berechnung Nährstoffe und Lager'!$BL68)</f>
        <v>0</v>
      </c>
      <c r="AK68" s="565">
        <f>INDEX(Tiere!S$30:S$79,'Berechnung Nährstoffe und Lager'!BL68)</f>
        <v>0</v>
      </c>
      <c r="AL68" s="560">
        <f>+(BA68*BQ68*(100-BZ68)/100)-BF68*BA68*BH68</f>
        <v>0</v>
      </c>
      <c r="AM68" s="560">
        <f>BA68*BR68-BA68*BF68*BI68</f>
        <v>0</v>
      </c>
      <c r="AN68" s="560">
        <f>BA68*BS68-BA68*BF68*BJ68</f>
        <v>0</v>
      </c>
      <c r="AO68" s="563">
        <f t="shared" ref="AO68:AO81" si="15">+(BD68*BQ68*(100-BZ68)/100)-BF68*BD68*BH68</f>
        <v>0</v>
      </c>
      <c r="AP68" s="560">
        <f t="shared" ref="AP68:AP81" si="16">BD68*BR68-BD68*BF68*BI68</f>
        <v>0</v>
      </c>
      <c r="AQ68" s="564">
        <f t="shared" ref="AQ68:AQ81" si="17">BD68*BS68-BD68*BF68*BJ68</f>
        <v>0</v>
      </c>
      <c r="AR68" s="565">
        <f>INDEX(Tiere!P$30:P$79,'Berechnung Nährstoffe und Lager'!$BL68)</f>
        <v>0</v>
      </c>
      <c r="AS68" s="566">
        <f>IF(BM68=1,BB68*CB68*BO68*365/1000*CE68,IF(BM68=2,BB68*CC68*BO68*365/1000*CE68,BB68*CD68*BO68*365/1000*CE68))</f>
        <v>0</v>
      </c>
      <c r="AT68" s="566">
        <f>IF(BM68=1,BB68*CB68*BO68*365/1000*CF68,IF(BM68=2,BB68*CC68*BO68*365/1000*CF68,BB68*CD68*BO68*365/1000*CF68))</f>
        <v>0</v>
      </c>
      <c r="AU68" s="566">
        <f>IF(BM68=1,BB68*CB68*BO68*365/1000*CG68,IF(BM68=2,BB68*CC68*BO68*365/1000*CG68,BB68*CD68*BO68*365/1000*CG68))</f>
        <v>0</v>
      </c>
      <c r="AV68" s="563">
        <f>IF(BM68=1,BE68*CB68*BO68*365/1000*CE68,IF(BM68=2,BE68*CC68*BO68*365/1000*CE68,BE68*CD68*BO68*365/1000*CE68))</f>
        <v>0</v>
      </c>
      <c r="AW68" s="560">
        <f>IF(BM68=1,BE68*CB68*BO68*365/1000*CF68,IF(BM68=2,BE68*CC68*BO68*365/1000*CF68,BE68*CD68*BO68*365/1000*CF68))</f>
        <v>0</v>
      </c>
      <c r="AX68" s="564">
        <f>IF(BM68=1,BE68*CB68*BO68*365/1000*CG68,IF(BM68=2,BE68*CC68*BO68*365/1000*CG68,BE68*CD68*BO68*365/1000*CG68))</f>
        <v>0</v>
      </c>
      <c r="AY68" s="560"/>
      <c r="AZ68" s="638">
        <f t="shared" ref="AZ68:AZ81" si="18">+Z68*(100-$H68)/100</f>
        <v>0</v>
      </c>
      <c r="BA68" s="639">
        <f t="shared" ref="BA68:BA81" si="19">+AA68*(100-$H68)/100</f>
        <v>0</v>
      </c>
      <c r="BB68" s="639">
        <f t="shared" ref="BB68:BB87" si="20">+F68*(100-$H68)/100</f>
        <v>0</v>
      </c>
      <c r="BC68" s="563">
        <f t="shared" ref="BC68:BC81" si="21">+Z68*(100-$I68)/100</f>
        <v>0</v>
      </c>
      <c r="BD68" s="560">
        <f t="shared" ref="BD68:BD81" si="22">+AA68*(100-$I68)/100</f>
        <v>0</v>
      </c>
      <c r="BE68" s="564">
        <f t="shared" ref="BE68:BE87" si="23">+F68*(100-$I68)/100</f>
        <v>0</v>
      </c>
      <c r="BF68" s="568">
        <f>IF(BM68=1,BU68,IF(BM68=2,BU68/2,0))</f>
        <v>0</v>
      </c>
      <c r="BG68" s="1313">
        <f>IF(BM68=1,BV68,IF(BM68=2,BW68,BX68))</f>
        <v>0</v>
      </c>
      <c r="BH68" s="570">
        <f>IF(BK68=2,3.2,IF(BK68=3,3.3,0))</f>
        <v>0</v>
      </c>
      <c r="BI68" s="570">
        <f>IF(BK68=2,0,IF(BK68=3,0,0))</f>
        <v>0</v>
      </c>
      <c r="BJ68" s="570">
        <f>IF(BK68=2,7.9,IF(BK68=3,3.1,0))</f>
        <v>0</v>
      </c>
      <c r="BK68" s="571">
        <f>IF(BL68&lt;2,1,IF(BL68&lt;11,2,IF(BL68&lt;26,3,IF(BL68&lt;40,4,5))))</f>
        <v>1</v>
      </c>
      <c r="BL68" s="572">
        <v>1</v>
      </c>
      <c r="BM68" s="572">
        <v>1</v>
      </c>
      <c r="BN68" s="571">
        <f>INDEX(Tiere!C$30:C$79,'Berechnung Nährstoffe und Lager'!$BL68)</f>
        <v>0</v>
      </c>
      <c r="BO68" s="571" t="str">
        <f>IF(BN68&gt;0.001,BN68,"1")</f>
        <v>1</v>
      </c>
      <c r="BP68" s="571">
        <f>Z68*BN68+AA68*BN68</f>
        <v>0</v>
      </c>
      <c r="BQ68" s="570">
        <f>INDEX(Tiere!D$30:D$79,'Berechnung Nährstoffe und Lager'!$BL68)</f>
        <v>0</v>
      </c>
      <c r="BR68" s="566">
        <f>INDEX(Tiere!E$30:E$79,'Berechnung Nährstoffe und Lager'!$BL68)</f>
        <v>0</v>
      </c>
      <c r="BS68" s="567">
        <f>INDEX(Tiere!F$30:F$79,'Berechnung Nährstoffe und Lager'!$BL68)</f>
        <v>0</v>
      </c>
      <c r="BT68" s="566">
        <f>INDEX(Tiere!J$30:J$79,'Berechnung Nährstoffe und Lager'!$BL68)</f>
        <v>0</v>
      </c>
      <c r="BU68" s="566">
        <f>INDEX(Tiere!R$30:R$79,'Berechnung Nährstoffe und Lager'!$BL68)</f>
        <v>0</v>
      </c>
      <c r="BV68" s="570">
        <f>INDEX(Tiere!M$30:M$79,'Berechnung Nährstoffe und Lager'!$BL68)</f>
        <v>0</v>
      </c>
      <c r="BW68" s="566">
        <f>INDEX(Tiere!N$30:N$79,'Berechnung Nährstoffe und Lager'!$BL68)</f>
        <v>0</v>
      </c>
      <c r="BX68" s="567">
        <f>INDEX(Tiere!O$30:O$79,'Berechnung Nährstoffe und Lager'!$BL68)</f>
        <v>0</v>
      </c>
      <c r="BY68" s="570">
        <f>INDEX(Tiere!T$30:T$79,'Berechnung Nährstoffe und Lager'!$BL68)</f>
        <v>0</v>
      </c>
      <c r="BZ68" s="567">
        <f>INDEX(Tiere!U$30:U$79,'Berechnung Nährstoffe und Lager'!$BL68)</f>
        <v>0</v>
      </c>
      <c r="CA68" s="573">
        <f>INDEX(Tiere!V$30:V$79,'Berechnung Nährstoffe und Lager'!$BL68)</f>
        <v>0</v>
      </c>
      <c r="CB68" s="567">
        <f>INDEX(Tiere!W$30:W$79,'Berechnung Nährstoffe und Lager'!$BL68)</f>
        <v>0</v>
      </c>
      <c r="CC68" s="567">
        <f>INDEX(Tiere!X$30:X$79,'Berechnung Nährstoffe und Lager'!$BL68)</f>
        <v>0</v>
      </c>
      <c r="CD68" s="567">
        <f>INDEX(Tiere!Y$30:Y$79,'Berechnung Nährstoffe und Lager'!$BL68)</f>
        <v>0</v>
      </c>
      <c r="CE68" s="560">
        <v>5</v>
      </c>
      <c r="CF68" s="560">
        <v>3</v>
      </c>
      <c r="CG68" s="564">
        <v>17</v>
      </c>
      <c r="CH68" s="560">
        <f>INDEX(Tiere!AB$30:AB$79,'Berechnung Nährstoffe und Lager'!$BL68)</f>
        <v>0</v>
      </c>
      <c r="CI68" s="560">
        <f t="shared" ref="CI68:CI81" si="24">IF(R68=" ",0,CH68*R68)</f>
        <v>0</v>
      </c>
      <c r="CJ68" s="560">
        <f t="shared" ref="CJ68:CJ81" si="25">(AZ68+BC68)/2*BT68</f>
        <v>0</v>
      </c>
      <c r="CK68" s="564">
        <f t="shared" ref="CK68:CK81" si="26">(BA68+BD68)/2*BF68</f>
        <v>0</v>
      </c>
      <c r="CL68" s="560"/>
      <c r="CM68" s="1065" t="b">
        <f t="shared" ref="CM68:CM81" si="27">AND(BL68&gt;1)</f>
        <v>0</v>
      </c>
      <c r="CN68" s="560"/>
      <c r="CO68" s="570">
        <f>INDEX(Tiere!AC$30:AC$79,'Berechnung Nährstoffe und Lager'!$BL68)</f>
        <v>0</v>
      </c>
      <c r="CP68" s="570">
        <f>INDEX(Tiere!AD$30:AD$79,'Berechnung Nährstoffe und Lager'!$BL68)</f>
        <v>0</v>
      </c>
      <c r="CQ68" s="570">
        <f>INDEX(Tiere!AE$30:AE$79,'Berechnung Nährstoffe und Lager'!$BL68)</f>
        <v>0</v>
      </c>
      <c r="CR68" s="406">
        <f t="shared" ref="CR68:CR87" si="28">+((((AZ68*BQ68*(100-BY68)/100)*(CO68/100))+((BF68*BH68*BA68)*(CP68/100)))+(((BC68*BQ68*(100-BY68)/100)*(CO68/100))+((BF68*BH68*BD68)*(CP68/100))))/2</f>
        <v>0</v>
      </c>
      <c r="CS68" s="409">
        <f t="shared" ref="CS68:CS87" si="29">+((AL68+AS68+AO68+AV68)/2)/100*CQ68</f>
        <v>0</v>
      </c>
      <c r="CT68" s="409">
        <f t="shared" ref="CT68:CT87" si="30">+($E68+$F68)*($H68+$I68)/2/100*BQ68*(100-BZ68)/100</f>
        <v>0</v>
      </c>
      <c r="CU68" s="409">
        <f t="shared" ref="CU68:CU87" si="31">+($E68+$F68)*($H68+$I68)/2/100*BR68</f>
        <v>0</v>
      </c>
      <c r="CV68" s="409">
        <f t="shared" ref="CV68:CV87" si="32">+($E68+$F68)*($H68+$I68)/2/100*BS68</f>
        <v>0</v>
      </c>
      <c r="CW68" s="409">
        <f>IF($DJ68=FALSE,(($E68*(100-BY68)/100*(100-($H68+$I68)/2)/100+$F68*(100-BZ68)/100*(100-($H68+$I68)/2)/100)*BQ68+(AS68+AV68)/2),0)</f>
        <v>0</v>
      </c>
      <c r="CX68" s="409">
        <f>IF($DJ68=FALSE,(($E68*(100-($H68+$I68)/2)/100+$F68*(100-($H68+$I68)/2)/100)*BR68+(AT68+AW68)/2),0)</f>
        <v>0</v>
      </c>
      <c r="CY68" s="409">
        <f>IF($DJ68=FALSE,(($E68*(100-($H68+$I68)/2)/100+$F68*(100-($H68+$I68)/2)/100)*BS68+(AU68+AX68)/2),0)</f>
        <v>0</v>
      </c>
      <c r="CZ68" s="409">
        <f>IF($DJ68=FALSE,(AF68+AB68)/2,0)</f>
        <v>0</v>
      </c>
      <c r="DA68" s="409">
        <f>IF($DJ68=FALSE,(AH68+AD68)/2,0)</f>
        <v>0</v>
      </c>
      <c r="DB68" s="409"/>
      <c r="DC68" s="409">
        <f>IF($DJ68=TRUE,(($E68*(100-BY68)/100*(100-($H68+$I68)/2)/100+$F68*(100-BZ68)/100*(100-($H68+$I68)/2)/100)*BQ68+(AS68+AV68)/2),0)</f>
        <v>0</v>
      </c>
      <c r="DD68" s="409">
        <f>IF($DJ68=TRUE,(($E68*(100-($H68+$I68)/2)/100+$F68*(100-($H68+$I68)/2)/100)*BR68+(AT68+AW68)/2),0)</f>
        <v>0</v>
      </c>
      <c r="DE68" s="409">
        <f>IF($DJ68=TRUE,(($E68*(100-($H68+$I68)/2)/100+$F68*(100-($H68+$I68)/2)/100)*BS68+(AU68+AX68)/2),0)</f>
        <v>0</v>
      </c>
      <c r="DF68" s="409">
        <f>IF($DJ68=TRUE,(AF68+AB68)/2,0)</f>
        <v>0</v>
      </c>
      <c r="DG68" s="409">
        <f>+DC68-DF68</f>
        <v>0</v>
      </c>
      <c r="DH68" s="409">
        <f>IF(BK68=2,60,IF(BK68=3,70,IF(BK68=4,70,55)))</f>
        <v>55</v>
      </c>
      <c r="DI68" s="409">
        <f>IF(BK68=4,70,IF(DC68=0,0,(DG68*55+DF68*DH68)/DC68))</f>
        <v>0</v>
      </c>
      <c r="DJ68" s="560" t="b">
        <v>0</v>
      </c>
      <c r="DK68" s="560">
        <f>IF(DJ68=TRUE,1,0)</f>
        <v>0</v>
      </c>
      <c r="DL68" s="1044">
        <f>INDEX(Tiere!AG$30:AG$79,'Berechnung Nährstoffe und Lager'!$BL68)</f>
        <v>0</v>
      </c>
      <c r="DM68" s="570">
        <f>INDEX(Tiere!AH$30:AH$79,'Berechnung Nährstoffe und Lager'!$BL68)</f>
        <v>0</v>
      </c>
      <c r="DN68" s="570">
        <f>INDEX(Tiere!AI$30:AI$79,'Berechnung Nährstoffe und Lager'!$BL68)</f>
        <v>0</v>
      </c>
      <c r="DO68" s="1044">
        <f>INDEX(Tiere!AJ$30:AJ$79,'Berechnung Nährstoffe und Lager'!$BL68)</f>
        <v>0</v>
      </c>
      <c r="DP68" s="570">
        <f>INDEX(Tiere!AK$30:AK$79,'Berechnung Nährstoffe und Lager'!$BL68)</f>
        <v>0</v>
      </c>
      <c r="DQ68" s="570">
        <f>INDEX(Tiere!AL$30:AL$79,'Berechnung Nährstoffe und Lager'!$BL68)</f>
        <v>0</v>
      </c>
      <c r="DR68" s="570">
        <f>INDEX(Tiere!AM$30:AM$79,'Berechnung Nährstoffe und Lager'!$BL68)</f>
        <v>0</v>
      </c>
      <c r="DS68" s="570">
        <f>INDEX(Tiere!AN$30:AN$79,'Berechnung Nährstoffe und Lager'!$BL68)</f>
        <v>0</v>
      </c>
      <c r="DT68" s="566">
        <f>IF(DJ68=TRUE,(DV68*DR68+DX68*DS68),0)</f>
        <v>0</v>
      </c>
      <c r="DU68" s="566">
        <f t="shared" ref="DU68:DU81" si="33">IF(J68=" ",0,(CJ68*AJ68+CK68*AK68)/(CJ68+CK68))</f>
        <v>0</v>
      </c>
      <c r="DV68" s="566">
        <f t="shared" ref="DV68:DV87" si="34">+(U68+W68)/2</f>
        <v>0</v>
      </c>
      <c r="DW68" s="566">
        <f t="shared" ref="DW68:DW87" si="35">+AR68</f>
        <v>0</v>
      </c>
      <c r="DX68" s="566">
        <f t="shared" ref="DX68:DX87" si="36">+(V68+X68)/2</f>
        <v>0</v>
      </c>
      <c r="DY68" s="1268">
        <f>IF(DJ68=TRUE,(DV68*DU68/100*DL68*DM68)/1000,0)</f>
        <v>0</v>
      </c>
      <c r="DZ68" s="1063">
        <f>+DY68*DN68/100</f>
        <v>0</v>
      </c>
      <c r="EA68" s="1268">
        <f>IF(DJ68=TRUE,((V68+X68)/2*AR68/100*DO68*DP68)/1000,0)</f>
        <v>0</v>
      </c>
      <c r="EB68" s="1063">
        <f>+EA68*DQ68/100</f>
        <v>0</v>
      </c>
      <c r="EC68" s="1063">
        <f t="shared" ref="EC68:EC87" si="37">+((U68+W68)/2+(V68+X68)/2)*DK68</f>
        <v>0</v>
      </c>
      <c r="ED68" s="406">
        <f t="shared" ref="ED68:ED87" si="38">+((U68+W68)/2*DU68/100+((V68+X68)/2)*AR68/100)*DK68</f>
        <v>0</v>
      </c>
      <c r="EE68" s="1063">
        <f>+EC68-ED68</f>
        <v>0</v>
      </c>
      <c r="EF68" s="406" t="e">
        <f t="shared" ref="EF68:EF87" si="39">+ED68/EC68</f>
        <v>#DIV/0!</v>
      </c>
      <c r="EG68" s="406">
        <f t="shared" ref="EG68:EG87" si="40">+((U68+W68)/2*DU68/100*DL68+((V68+X68)/2)*AR68/100*DO68)*DK68</f>
        <v>0</v>
      </c>
      <c r="EH68" s="458" t="e">
        <f>+((U68+W68)/2*DU68/100*DL68*DM68+((V68+X68)/2)*AR68/100*DO68*DP68)*DK68/EC68</f>
        <v>#DIV/0!</v>
      </c>
      <c r="EI68" s="458" t="e">
        <f>(DV68+DX68)*EH68*((DZ68+EB68)/(DY68+EA68))/22.26*0.01605</f>
        <v>#DIV/0!</v>
      </c>
      <c r="EJ68" s="458" t="e">
        <f>(DV68+DX68)*EH68*(1-(DN68*DY68+DQ68*EA68)/(DY68+EA68)/100)/22.26*0.04401</f>
        <v>#DIV/0!</v>
      </c>
      <c r="EK68" s="406">
        <f>IF(EC68=0,0,EI68+EJ68)</f>
        <v>0</v>
      </c>
      <c r="EL68" s="406">
        <f>+DM68/887*100</f>
        <v>0</v>
      </c>
      <c r="EM68" s="521">
        <f>15.44*EL68/100</f>
        <v>0</v>
      </c>
      <c r="EN68" s="678">
        <f>+EK68-EO68</f>
        <v>0</v>
      </c>
      <c r="EO68" s="678">
        <f>+EK68*EM68/100</f>
        <v>0</v>
      </c>
    </row>
    <row r="69" spans="1:146" ht="18" customHeight="1" x14ac:dyDescent="0.2">
      <c r="A69" s="2033"/>
      <c r="B69" s="2034"/>
      <c r="C69" s="2034"/>
      <c r="D69" s="2114"/>
      <c r="E69" s="443"/>
      <c r="F69" s="450"/>
      <c r="G69" s="350"/>
      <c r="H69" s="443"/>
      <c r="I69" s="1122"/>
      <c r="J69" s="693" t="str">
        <f t="shared" ref="J69:J81" si="41">IF(U69+W69=0," ",(U69+W69)/2)</f>
        <v xml:space="preserve"> </v>
      </c>
      <c r="K69" s="1931" t="str">
        <f t="shared" si="1"/>
        <v xml:space="preserve"> </v>
      </c>
      <c r="L69" s="1932"/>
      <c r="M69" s="1250"/>
      <c r="N69" s="19"/>
      <c r="P69" s="560"/>
      <c r="Q69" s="560" t="str">
        <f t="shared" si="2"/>
        <v xml:space="preserve"> </v>
      </c>
      <c r="R69" s="560" t="str">
        <f t="shared" si="3"/>
        <v xml:space="preserve"> </v>
      </c>
      <c r="S69" s="560">
        <f t="shared" ref="S69:S87" si="42">IF(DK69=1,0,W69)</f>
        <v>0</v>
      </c>
      <c r="T69" s="641">
        <f t="shared" ref="T69:T87" si="43">IF(DK69=1,0,U69)</f>
        <v>0</v>
      </c>
      <c r="U69" s="560">
        <f t="shared" si="4"/>
        <v>0</v>
      </c>
      <c r="V69" s="560">
        <f t="shared" si="5"/>
        <v>0</v>
      </c>
      <c r="W69" s="560">
        <f t="shared" si="6"/>
        <v>0</v>
      </c>
      <c r="X69" s="560">
        <f t="shared" si="7"/>
        <v>0</v>
      </c>
      <c r="Y69" s="560" t="str">
        <f t="shared" si="8"/>
        <v xml:space="preserve"> </v>
      </c>
      <c r="Z69" s="561">
        <f t="shared" si="9"/>
        <v>0</v>
      </c>
      <c r="AA69" s="562">
        <f t="shared" si="10"/>
        <v>0</v>
      </c>
      <c r="AB69" s="641">
        <f t="shared" ref="AB69:AB87" si="44">+(AZ69*BQ69*(100-BY69)/100)+(BF69*BH69*BA69)</f>
        <v>0</v>
      </c>
      <c r="AC69" s="641">
        <f t="shared" ref="AC69:AC87" si="45">IF(BK69=2,AB69,0)</f>
        <v>0</v>
      </c>
      <c r="AD69" s="641">
        <f t="shared" ref="AD69:AD87" si="46">AZ69*BR69+BA69*BF69*BI69</f>
        <v>0</v>
      </c>
      <c r="AE69" s="641">
        <f t="shared" ref="AE69:AE87" si="47">AZ69*BS69+BA69*BF69*BJ69</f>
        <v>0</v>
      </c>
      <c r="AF69" s="563">
        <f t="shared" si="11"/>
        <v>0</v>
      </c>
      <c r="AG69" s="560">
        <f t="shared" si="12"/>
        <v>0</v>
      </c>
      <c r="AH69" s="560">
        <f t="shared" si="13"/>
        <v>0</v>
      </c>
      <c r="AI69" s="564">
        <f t="shared" si="14"/>
        <v>0</v>
      </c>
      <c r="AJ69" s="565">
        <f>INDEX(Tiere!K$30:K$79,'Berechnung Nährstoffe und Lager'!$BL69)</f>
        <v>0</v>
      </c>
      <c r="AK69" s="565">
        <f>INDEX(Tiere!S$30:S$79,'Berechnung Nährstoffe und Lager'!BL69)</f>
        <v>0</v>
      </c>
      <c r="AL69" s="560">
        <f t="shared" ref="AL69:AL87" si="48">+(BA69*BQ69*(100-BZ69)/100)-BF69*BA69*BH69</f>
        <v>0</v>
      </c>
      <c r="AM69" s="560">
        <f t="shared" ref="AM69:AM87" si="49">BA69*BR69-BA69*BF69*BI69</f>
        <v>0</v>
      </c>
      <c r="AN69" s="560">
        <f t="shared" ref="AN69:AN87" si="50">BA69*BS69-BA69*BF69*BJ69</f>
        <v>0</v>
      </c>
      <c r="AO69" s="563">
        <f t="shared" si="15"/>
        <v>0</v>
      </c>
      <c r="AP69" s="560">
        <f t="shared" si="16"/>
        <v>0</v>
      </c>
      <c r="AQ69" s="564">
        <f t="shared" si="17"/>
        <v>0</v>
      </c>
      <c r="AR69" s="565">
        <f>INDEX(Tiere!P$30:P$79,'Berechnung Nährstoffe und Lager'!$BL69)</f>
        <v>0</v>
      </c>
      <c r="AS69" s="566">
        <f t="shared" ref="AS69:AS87" si="51">IF(BM69=1,BB69*CB69*BO69*365/1000*CE69,IF(BM69=2,BB69*CC69*BO69*365/1000*CE69,BB69*CD69*BO69*365/1000*CE69))</f>
        <v>0</v>
      </c>
      <c r="AT69" s="566">
        <f t="shared" ref="AT69:AT87" si="52">IF(BM69=1,BB69*CB69*BO69*365/1000*CF69,IF(BM69=2,BB69*CC69*BO69*365/1000*CF69,BB69*CD69*BO69*365/1000*CF69))</f>
        <v>0</v>
      </c>
      <c r="AU69" s="566">
        <f t="shared" ref="AU69:AU87" si="53">IF(BM69=1,BB69*CB69*BO69*365/1000*CG69,IF(BM69=2,BB69*CC69*BO69*365/1000*CG69,BB69*CD69*BO69*365/1000*CG69))</f>
        <v>0</v>
      </c>
      <c r="AV69" s="563">
        <f t="shared" ref="AV69:AV87" si="54">IF(BM69=1,BE69*CB69*BO69*365/1000*CE69,IF(BM69=2,BE69*CC69*BO69*365/1000*CE69,BE69*CD69*BO69*365/1000*CE69))</f>
        <v>0</v>
      </c>
      <c r="AW69" s="560">
        <f t="shared" ref="AW69:AW87" si="55">IF(BM69=1,BE69*CB69*BO69*365/1000*CF69,IF(BM69=2,BE69*CC69*BO69*365/1000*CF69,BE69*CD69*BO69*365/1000*CF69))</f>
        <v>0</v>
      </c>
      <c r="AX69" s="564">
        <f t="shared" ref="AX69:AX87" si="56">IF(BM69=1,BE69*CB69*BO69*365/1000*CG69,IF(BM69=2,BE69*CC69*BO69*365/1000*CG69,BE69*CD69*BO69*365/1000*CG69))</f>
        <v>0</v>
      </c>
      <c r="AY69" s="560"/>
      <c r="AZ69" s="638">
        <f t="shared" si="18"/>
        <v>0</v>
      </c>
      <c r="BA69" s="639">
        <f t="shared" si="19"/>
        <v>0</v>
      </c>
      <c r="BB69" s="639">
        <f t="shared" si="20"/>
        <v>0</v>
      </c>
      <c r="BC69" s="563">
        <f t="shared" si="21"/>
        <v>0</v>
      </c>
      <c r="BD69" s="560">
        <f t="shared" si="22"/>
        <v>0</v>
      </c>
      <c r="BE69" s="564">
        <f t="shared" si="23"/>
        <v>0</v>
      </c>
      <c r="BF69" s="568">
        <f t="shared" ref="BF69:BF81" si="57">IF(BM69=1,BU69,IF(BM69=2,BU69/2,0))</f>
        <v>0</v>
      </c>
      <c r="BG69" s="569">
        <f t="shared" ref="BG69:BG81" si="58">IF(BM69=1,BV69,IF(BM69=2,BW69,BX69))</f>
        <v>0</v>
      </c>
      <c r="BH69" s="570">
        <f>IF(BK69=2,3.2,IF(BK69=3,3.3,0))</f>
        <v>0</v>
      </c>
      <c r="BI69" s="570">
        <f t="shared" ref="BI69:BI81" si="59">IF(BK69=2,0,IF(BK69=3,0,0))</f>
        <v>0</v>
      </c>
      <c r="BJ69" s="570">
        <f t="shared" ref="BJ69:BJ81" si="60">IF(BK69=2,7.9,IF(BK69=3,3.1,0))</f>
        <v>0</v>
      </c>
      <c r="BK69" s="571">
        <f t="shared" ref="BK69:BK81" si="61">IF(BL69&lt;2,1,IF(BL69&lt;11,2,IF(BL69&lt;26,3,IF(BL69&lt;40,4,5))))</f>
        <v>1</v>
      </c>
      <c r="BL69" s="572">
        <v>1</v>
      </c>
      <c r="BM69" s="572">
        <v>1</v>
      </c>
      <c r="BN69" s="571">
        <f>INDEX(Tiere!C$30:C$79,'Berechnung Nährstoffe und Lager'!$BL69)</f>
        <v>0</v>
      </c>
      <c r="BO69" s="571" t="str">
        <f t="shared" ref="BO69:BO87" si="62">IF(BN69&gt;0.001,BN69,"1")</f>
        <v>1</v>
      </c>
      <c r="BP69" s="571">
        <f t="shared" ref="BP69:BP81" si="63">E69*BN69+F69*BN69</f>
        <v>0</v>
      </c>
      <c r="BQ69" s="570">
        <f>INDEX(Tiere!D$30:D$79,'Berechnung Nährstoffe und Lager'!$BL69)</f>
        <v>0</v>
      </c>
      <c r="BR69" s="566">
        <f>INDEX(Tiere!E$30:E$79,'Berechnung Nährstoffe und Lager'!$BL69)</f>
        <v>0</v>
      </c>
      <c r="BS69" s="567">
        <f>INDEX(Tiere!F$30:F$79,'Berechnung Nährstoffe und Lager'!$BL69)</f>
        <v>0</v>
      </c>
      <c r="BT69" s="566">
        <f>INDEX(Tiere!J$30:J$79,'Berechnung Nährstoffe und Lager'!$BL69)</f>
        <v>0</v>
      </c>
      <c r="BU69" s="566">
        <f>INDEX(Tiere!R$30:R$79,'Berechnung Nährstoffe und Lager'!$BL69)</f>
        <v>0</v>
      </c>
      <c r="BV69" s="570">
        <f>INDEX(Tiere!M$30:M$79,'Berechnung Nährstoffe und Lager'!$BL69)</f>
        <v>0</v>
      </c>
      <c r="BW69" s="566">
        <f>INDEX(Tiere!N$30:N$79,'Berechnung Nährstoffe und Lager'!$BL69)</f>
        <v>0</v>
      </c>
      <c r="BX69" s="567">
        <f>INDEX(Tiere!O$30:O$79,'Berechnung Nährstoffe und Lager'!$BL69)</f>
        <v>0</v>
      </c>
      <c r="BY69" s="570">
        <f>INDEX(Tiere!T$30:T$79,'Berechnung Nährstoffe und Lager'!$BL69)</f>
        <v>0</v>
      </c>
      <c r="BZ69" s="567">
        <f>INDEX(Tiere!U$30:U$79,'Berechnung Nährstoffe und Lager'!$BL69)</f>
        <v>0</v>
      </c>
      <c r="CA69" s="573">
        <f>INDEX(Tiere!V$30:V$79,'Berechnung Nährstoffe und Lager'!$BL69)</f>
        <v>0</v>
      </c>
      <c r="CB69" s="567">
        <f>INDEX(Tiere!W$30:W$79,'Berechnung Nährstoffe und Lager'!$BL69)</f>
        <v>0</v>
      </c>
      <c r="CC69" s="567">
        <f>INDEX(Tiere!X$30:X$79,'Berechnung Nährstoffe und Lager'!$BL69)</f>
        <v>0</v>
      </c>
      <c r="CD69" s="567">
        <f>INDEX(Tiere!Y$30:Y$79,'Berechnung Nährstoffe und Lager'!$BL69)</f>
        <v>0</v>
      </c>
      <c r="CE69" s="560">
        <v>5</v>
      </c>
      <c r="CF69" s="560">
        <v>3</v>
      </c>
      <c r="CG69" s="564">
        <v>17</v>
      </c>
      <c r="CH69" s="560">
        <f>INDEX(Tiere!AB$30:AB$79,'Berechnung Nährstoffe und Lager'!$BL69)</f>
        <v>0</v>
      </c>
      <c r="CI69" s="560">
        <f t="shared" si="24"/>
        <v>0</v>
      </c>
      <c r="CJ69" s="560">
        <f t="shared" si="25"/>
        <v>0</v>
      </c>
      <c r="CK69" s="564">
        <f t="shared" si="26"/>
        <v>0</v>
      </c>
      <c r="CL69" s="560"/>
      <c r="CM69" s="1065" t="b">
        <f t="shared" si="27"/>
        <v>0</v>
      </c>
      <c r="CN69" s="560"/>
      <c r="CO69" s="570">
        <f>INDEX(Tiere!AC$30:AC$79,'Berechnung Nährstoffe und Lager'!$BL69)</f>
        <v>0</v>
      </c>
      <c r="CP69" s="570">
        <f>INDEX(Tiere!AD$30:AD$79,'Berechnung Nährstoffe und Lager'!$BL69)</f>
        <v>0</v>
      </c>
      <c r="CQ69" s="570">
        <f>INDEX(Tiere!AE$30:AE$79,'Berechnung Nährstoffe und Lager'!$BL69)</f>
        <v>0</v>
      </c>
      <c r="CR69" s="406">
        <f t="shared" si="28"/>
        <v>0</v>
      </c>
      <c r="CS69" s="409">
        <f t="shared" si="29"/>
        <v>0</v>
      </c>
      <c r="CT69" s="409">
        <f t="shared" si="30"/>
        <v>0</v>
      </c>
      <c r="CU69" s="409">
        <f t="shared" si="31"/>
        <v>0</v>
      </c>
      <c r="CV69" s="409">
        <f t="shared" si="32"/>
        <v>0</v>
      </c>
      <c r="CW69" s="409">
        <f t="shared" ref="CW69:CW87" si="64">IF($DJ69=FALSE,(($E69*(100-BY69)/100*(100-($H69+$I69)/2)/100+$F69*(100-BZ69)/100*(100-($H69+$I69)/2)/100)*BQ69+(AS69+AV69)/2),0)</f>
        <v>0</v>
      </c>
      <c r="CX69" s="409">
        <f t="shared" ref="CX69:CX87" si="65">IF($DJ69=FALSE,(($E69*(100-($H69+$I69)/2)/100+$F69*(100-($H69+$I69)/2)/100)*BR69+(AT69+AW69)/2),0)</f>
        <v>0</v>
      </c>
      <c r="CY69" s="409">
        <f t="shared" ref="CY69:CY87" si="66">IF($DJ69=FALSE,(($E69*(100-($H69+$I69)/2)/100+$F69*(100-($H69+$I69)/2)/100)*BS69+(AU69+AX69)/2),0)</f>
        <v>0</v>
      </c>
      <c r="CZ69" s="409">
        <f t="shared" ref="CZ69:CZ87" si="67">IF($DJ69=FALSE,(AF69+AB69)/2,0)</f>
        <v>0</v>
      </c>
      <c r="DA69" s="409">
        <f t="shared" ref="DA69:DA87" si="68">IF($DJ69=FALSE,(AH69+AD69)/2,0)</f>
        <v>0</v>
      </c>
      <c r="DB69" s="409"/>
      <c r="DC69" s="409">
        <f t="shared" ref="DC69:DC87" si="69">IF($DJ69=TRUE,(($E69*(100-BY69)/100*(100-($H69+$I69)/2)/100+$F69*(100-BZ69)/100*(100-($H69+$I69)/2)/100)*BQ69+(AS69+AV69)/2),0)</f>
        <v>0</v>
      </c>
      <c r="DD69" s="409">
        <f t="shared" ref="DD69:DD87" si="70">IF($DJ69=TRUE,(($E69*(100-($H69+$I69)/2)/100+$F69*(100-($H69+$I69)/2)/100)*BR69+(AT69+AW69)/2),0)</f>
        <v>0</v>
      </c>
      <c r="DE69" s="409">
        <f t="shared" ref="DE69:DE87" si="71">IF($DJ69=TRUE,(($E69*(100-($H69+$I69)/2)/100+$F69*(100-($H69+$I69)/2)/100)*BS69+(AU69+AX69)/2),0)</f>
        <v>0</v>
      </c>
      <c r="DF69" s="409">
        <f t="shared" ref="DF69:DF87" si="72">IF($DJ69=TRUE,(AF69+AB69)/2,0)</f>
        <v>0</v>
      </c>
      <c r="DG69" s="409">
        <f t="shared" ref="DG69:DG87" si="73">+DC69-DF69</f>
        <v>0</v>
      </c>
      <c r="DH69" s="409">
        <f t="shared" ref="DH69:DH87" si="74">IF(BK69=2,60,IF(BK69=3,70,IF(BK69=4,70,55)))</f>
        <v>55</v>
      </c>
      <c r="DI69" s="409">
        <f t="shared" ref="DI69:DI87" si="75">IF(BK69=4,70,IF(DC69=0,0,(DG69*55+DF69*DH69)/DC69))</f>
        <v>0</v>
      </c>
      <c r="DJ69" s="560" t="b">
        <v>0</v>
      </c>
      <c r="DK69" s="560">
        <f t="shared" ref="DK69:DK87" si="76">IF(DJ69=TRUE,1,0)</f>
        <v>0</v>
      </c>
      <c r="DL69" s="1044">
        <f>INDEX(Tiere!AG$30:AG$79,'Berechnung Nährstoffe und Lager'!$BL69)</f>
        <v>0</v>
      </c>
      <c r="DM69" s="570">
        <f>INDEX(Tiere!AH$30:AH$79,'Berechnung Nährstoffe und Lager'!$BL69)</f>
        <v>0</v>
      </c>
      <c r="DN69" s="570">
        <f>INDEX(Tiere!AI$30:AI$79,'Berechnung Nährstoffe und Lager'!$BL69)</f>
        <v>0</v>
      </c>
      <c r="DO69" s="1044">
        <f>INDEX(Tiere!AJ$30:AJ$79,'Berechnung Nährstoffe und Lager'!$BL69)</f>
        <v>0</v>
      </c>
      <c r="DP69" s="570">
        <f>INDEX(Tiere!AK$30:AK$79,'Berechnung Nährstoffe und Lager'!$BL69)</f>
        <v>0</v>
      </c>
      <c r="DQ69" s="570">
        <f>INDEX(Tiere!AL$30:AL$79,'Berechnung Nährstoffe und Lager'!$BL69)</f>
        <v>0</v>
      </c>
      <c r="DR69" s="570">
        <f>INDEX(Tiere!AM$30:AM$79,'Berechnung Nährstoffe und Lager'!$BL69)</f>
        <v>0</v>
      </c>
      <c r="DS69" s="570">
        <f>INDEX(Tiere!AN$30:AN$79,'Berechnung Nährstoffe und Lager'!$BL69)</f>
        <v>0</v>
      </c>
      <c r="DT69" s="566">
        <f t="shared" ref="DT69:DT87" si="77">IF(DJ69=TRUE,(DV69*DR69+DX69*DS69),0)</f>
        <v>0</v>
      </c>
      <c r="DU69" s="566">
        <f t="shared" si="33"/>
        <v>0</v>
      </c>
      <c r="DV69" s="566">
        <f t="shared" si="34"/>
        <v>0</v>
      </c>
      <c r="DW69" s="566">
        <f t="shared" si="35"/>
        <v>0</v>
      </c>
      <c r="DX69" s="566">
        <f>+(V69+X69)/2</f>
        <v>0</v>
      </c>
      <c r="DY69" s="1268">
        <f t="shared" ref="DY69:DY82" si="78">IF(DJ69=TRUE,(DV69*DU69/100*DL69*DM69)/1000,0)</f>
        <v>0</v>
      </c>
      <c r="DZ69" s="1063">
        <f t="shared" ref="DZ69:DZ87" si="79">+DY69*DN69/100</f>
        <v>0</v>
      </c>
      <c r="EA69" s="1268">
        <f t="shared" ref="EA69:EA82" si="80">IF(DJ69=TRUE,((V69+X69)/2*AR69/100*DO69*DP69)/1000,0)</f>
        <v>0</v>
      </c>
      <c r="EB69" s="1063">
        <f t="shared" ref="EB69:EB87" si="81">+EA69*DQ69/100</f>
        <v>0</v>
      </c>
      <c r="EC69" s="1063">
        <f t="shared" si="37"/>
        <v>0</v>
      </c>
      <c r="ED69" s="406">
        <f t="shared" si="38"/>
        <v>0</v>
      </c>
      <c r="EE69" s="1063">
        <f t="shared" ref="EE69:EE87" si="82">+EC69-ED69</f>
        <v>0</v>
      </c>
      <c r="EF69" s="406" t="e">
        <f t="shared" si="39"/>
        <v>#DIV/0!</v>
      </c>
      <c r="EG69" s="406">
        <f t="shared" si="40"/>
        <v>0</v>
      </c>
      <c r="EH69" s="458" t="e">
        <f>+(((U69+W69)/2*DU69/100*DL69*DM69+((V69+X69)/2)*AR69/100*DO69*DP69)*DK69)/EC69</f>
        <v>#DIV/0!</v>
      </c>
      <c r="EI69" s="458" t="e">
        <f>(DV69+DX69)*EH69*((DZ69+EB69)/(DY69+EA69))/22.26*0.01605</f>
        <v>#DIV/0!</v>
      </c>
      <c r="EJ69" s="458" t="e">
        <f t="shared" ref="EJ69:EJ87" si="83">(DV69+DX69)*EH69*(1-(DN69*DY69+DQ69*EA69)/(DY69+EA69)/100)/22.26*0.04401</f>
        <v>#DIV/0!</v>
      </c>
      <c r="EK69" s="406">
        <f t="shared" ref="EK69:EK87" si="84">IF(EC69=0,0,EI69+EJ69)</f>
        <v>0</v>
      </c>
      <c r="EL69" s="406">
        <f t="shared" ref="EL69:EL87" si="85">+DM69/887*100</f>
        <v>0</v>
      </c>
      <c r="EM69" s="521">
        <f t="shared" ref="EM69:EM87" si="86">15.44*EL69/100</f>
        <v>0</v>
      </c>
      <c r="EN69" s="678">
        <f t="shared" ref="EN69:EN87" si="87">+EK69-EO69</f>
        <v>0</v>
      </c>
      <c r="EO69" s="678">
        <f t="shared" ref="EO69:EO87" si="88">+EK69*EM69/100</f>
        <v>0</v>
      </c>
    </row>
    <row r="70" spans="1:146" ht="18" customHeight="1" x14ac:dyDescent="0.2">
      <c r="A70" s="2033"/>
      <c r="B70" s="2034"/>
      <c r="C70" s="2034"/>
      <c r="D70" s="2034"/>
      <c r="E70" s="443"/>
      <c r="F70" s="450"/>
      <c r="G70" s="350"/>
      <c r="H70" s="443"/>
      <c r="I70" s="1122"/>
      <c r="J70" s="693" t="str">
        <f t="shared" si="41"/>
        <v xml:space="preserve"> </v>
      </c>
      <c r="K70" s="1931" t="str">
        <f t="shared" si="1"/>
        <v xml:space="preserve"> </v>
      </c>
      <c r="L70" s="1932"/>
      <c r="M70" s="1250"/>
      <c r="N70" s="19"/>
      <c r="O70" s="19"/>
      <c r="P70" s="560"/>
      <c r="Q70" s="560" t="str">
        <f t="shared" si="2"/>
        <v xml:space="preserve"> </v>
      </c>
      <c r="R70" s="560" t="str">
        <f t="shared" si="3"/>
        <v xml:space="preserve"> </v>
      </c>
      <c r="S70" s="560">
        <f t="shared" si="42"/>
        <v>0</v>
      </c>
      <c r="T70" s="641">
        <f t="shared" si="43"/>
        <v>0</v>
      </c>
      <c r="U70" s="560">
        <f t="shared" si="4"/>
        <v>0</v>
      </c>
      <c r="V70" s="560">
        <f t="shared" si="5"/>
        <v>0</v>
      </c>
      <c r="W70" s="560">
        <f t="shared" si="6"/>
        <v>0</v>
      </c>
      <c r="X70" s="560">
        <f t="shared" si="7"/>
        <v>0</v>
      </c>
      <c r="Y70" s="560" t="str">
        <f t="shared" si="8"/>
        <v xml:space="preserve"> </v>
      </c>
      <c r="Z70" s="561">
        <f t="shared" si="9"/>
        <v>0</v>
      </c>
      <c r="AA70" s="562">
        <f t="shared" si="10"/>
        <v>0</v>
      </c>
      <c r="AB70" s="641">
        <f t="shared" si="44"/>
        <v>0</v>
      </c>
      <c r="AC70" s="641">
        <f t="shared" si="45"/>
        <v>0</v>
      </c>
      <c r="AD70" s="641">
        <f t="shared" si="46"/>
        <v>0</v>
      </c>
      <c r="AE70" s="641">
        <f t="shared" si="47"/>
        <v>0</v>
      </c>
      <c r="AF70" s="563">
        <f t="shared" si="11"/>
        <v>0</v>
      </c>
      <c r="AG70" s="560">
        <f t="shared" si="12"/>
        <v>0</v>
      </c>
      <c r="AH70" s="560">
        <f t="shared" si="13"/>
        <v>0</v>
      </c>
      <c r="AI70" s="564">
        <f t="shared" si="14"/>
        <v>0</v>
      </c>
      <c r="AJ70" s="565">
        <f>INDEX(Tiere!K$30:K$79,'Berechnung Nährstoffe und Lager'!$BL70)</f>
        <v>0</v>
      </c>
      <c r="AK70" s="565">
        <f>INDEX(Tiere!S$30:S$79,'Berechnung Nährstoffe und Lager'!BL70)</f>
        <v>0</v>
      </c>
      <c r="AL70" s="560">
        <f t="shared" si="48"/>
        <v>0</v>
      </c>
      <c r="AM70" s="560">
        <f t="shared" si="49"/>
        <v>0</v>
      </c>
      <c r="AN70" s="560">
        <f t="shared" si="50"/>
        <v>0</v>
      </c>
      <c r="AO70" s="563">
        <f t="shared" si="15"/>
        <v>0</v>
      </c>
      <c r="AP70" s="560">
        <f t="shared" si="16"/>
        <v>0</v>
      </c>
      <c r="AQ70" s="564">
        <f t="shared" si="17"/>
        <v>0</v>
      </c>
      <c r="AR70" s="565">
        <f>INDEX(Tiere!P$30:P$79,'Berechnung Nährstoffe und Lager'!$BL70)</f>
        <v>0</v>
      </c>
      <c r="AS70" s="566">
        <f t="shared" si="51"/>
        <v>0</v>
      </c>
      <c r="AT70" s="566">
        <f t="shared" si="52"/>
        <v>0</v>
      </c>
      <c r="AU70" s="566">
        <f t="shared" si="53"/>
        <v>0</v>
      </c>
      <c r="AV70" s="563">
        <f t="shared" si="54"/>
        <v>0</v>
      </c>
      <c r="AW70" s="560">
        <f t="shared" si="55"/>
        <v>0</v>
      </c>
      <c r="AX70" s="564">
        <f t="shared" si="56"/>
        <v>0</v>
      </c>
      <c r="AY70" s="560"/>
      <c r="AZ70" s="638">
        <f t="shared" si="18"/>
        <v>0</v>
      </c>
      <c r="BA70" s="639">
        <f t="shared" si="19"/>
        <v>0</v>
      </c>
      <c r="BB70" s="639">
        <f t="shared" si="20"/>
        <v>0</v>
      </c>
      <c r="BC70" s="563">
        <f t="shared" si="21"/>
        <v>0</v>
      </c>
      <c r="BD70" s="560">
        <f t="shared" si="22"/>
        <v>0</v>
      </c>
      <c r="BE70" s="564">
        <f t="shared" si="23"/>
        <v>0</v>
      </c>
      <c r="BF70" s="570">
        <f t="shared" si="57"/>
        <v>0</v>
      </c>
      <c r="BG70" s="567">
        <f t="shared" si="58"/>
        <v>0</v>
      </c>
      <c r="BH70" s="570">
        <f t="shared" ref="BH70:BH81" si="89">IF(BK70=2,3.2,IF(BK70=3,3.3,0))</f>
        <v>0</v>
      </c>
      <c r="BI70" s="570">
        <f t="shared" si="59"/>
        <v>0</v>
      </c>
      <c r="BJ70" s="570">
        <f t="shared" si="60"/>
        <v>0</v>
      </c>
      <c r="BK70" s="571">
        <f t="shared" si="61"/>
        <v>1</v>
      </c>
      <c r="BL70" s="572">
        <v>1</v>
      </c>
      <c r="BM70" s="572">
        <v>1</v>
      </c>
      <c r="BN70" s="571">
        <f>INDEX(Tiere!C$30:C$79,'Berechnung Nährstoffe und Lager'!$BL70)</f>
        <v>0</v>
      </c>
      <c r="BO70" s="571" t="str">
        <f t="shared" si="62"/>
        <v>1</v>
      </c>
      <c r="BP70" s="571">
        <f t="shared" si="63"/>
        <v>0</v>
      </c>
      <c r="BQ70" s="570">
        <f>INDEX(Tiere!D$30:D$79,'Berechnung Nährstoffe und Lager'!$BL70)</f>
        <v>0</v>
      </c>
      <c r="BR70" s="566">
        <f>INDEX(Tiere!E$30:E$79,'Berechnung Nährstoffe und Lager'!$BL70)</f>
        <v>0</v>
      </c>
      <c r="BS70" s="567">
        <f>INDEX(Tiere!F$30:F$79,'Berechnung Nährstoffe und Lager'!$BL70)</f>
        <v>0</v>
      </c>
      <c r="BT70" s="566">
        <f>INDEX(Tiere!J$30:J$79,'Berechnung Nährstoffe und Lager'!$BL70)</f>
        <v>0</v>
      </c>
      <c r="BU70" s="566">
        <f>INDEX(Tiere!R$30:R$79,'Berechnung Nährstoffe und Lager'!$BL70)</f>
        <v>0</v>
      </c>
      <c r="BV70" s="570">
        <f>INDEX(Tiere!M$30:M$79,'Berechnung Nährstoffe und Lager'!$BL70)</f>
        <v>0</v>
      </c>
      <c r="BW70" s="566">
        <f>INDEX(Tiere!N$30:N$79,'Berechnung Nährstoffe und Lager'!$BL70)</f>
        <v>0</v>
      </c>
      <c r="BX70" s="567">
        <f>INDEX(Tiere!O$30:O$79,'Berechnung Nährstoffe und Lager'!$BL70)</f>
        <v>0</v>
      </c>
      <c r="BY70" s="570">
        <f>INDEX(Tiere!T$30:T$79,'Berechnung Nährstoffe und Lager'!$BL70)</f>
        <v>0</v>
      </c>
      <c r="BZ70" s="567">
        <f>INDEX(Tiere!U$30:U$79,'Berechnung Nährstoffe und Lager'!$BL70)</f>
        <v>0</v>
      </c>
      <c r="CA70" s="573">
        <f>INDEX(Tiere!V$30:V$79,'Berechnung Nährstoffe und Lager'!$BL70)</f>
        <v>0</v>
      </c>
      <c r="CB70" s="567">
        <f>INDEX(Tiere!W$30:W$79,'Berechnung Nährstoffe und Lager'!$BL70)</f>
        <v>0</v>
      </c>
      <c r="CC70" s="567">
        <f>INDEX(Tiere!X$30:X$79,'Berechnung Nährstoffe und Lager'!$BL70)</f>
        <v>0</v>
      </c>
      <c r="CD70" s="567">
        <f>INDEX(Tiere!Y$30:Y$79,'Berechnung Nährstoffe und Lager'!$BL70)</f>
        <v>0</v>
      </c>
      <c r="CE70" s="560">
        <v>5</v>
      </c>
      <c r="CF70" s="560">
        <v>3</v>
      </c>
      <c r="CG70" s="564">
        <v>17</v>
      </c>
      <c r="CH70" s="560">
        <f>INDEX(Tiere!AB$30:AB$79,'Berechnung Nährstoffe und Lager'!$BL70)</f>
        <v>0</v>
      </c>
      <c r="CI70" s="560">
        <f t="shared" si="24"/>
        <v>0</v>
      </c>
      <c r="CJ70" s="560">
        <f t="shared" si="25"/>
        <v>0</v>
      </c>
      <c r="CK70" s="564">
        <f t="shared" si="26"/>
        <v>0</v>
      </c>
      <c r="CL70" s="560"/>
      <c r="CM70" s="1065" t="b">
        <f t="shared" si="27"/>
        <v>0</v>
      </c>
      <c r="CN70" s="560"/>
      <c r="CO70" s="570">
        <f>INDEX(Tiere!AC$30:AC$79,'Berechnung Nährstoffe und Lager'!$BL70)</f>
        <v>0</v>
      </c>
      <c r="CP70" s="570">
        <f>INDEX(Tiere!AD$30:AD$79,'Berechnung Nährstoffe und Lager'!$BL70)</f>
        <v>0</v>
      </c>
      <c r="CQ70" s="570">
        <f>INDEX(Tiere!AE$30:AE$79,'Berechnung Nährstoffe und Lager'!$BL70)</f>
        <v>0</v>
      </c>
      <c r="CR70" s="406">
        <f t="shared" si="28"/>
        <v>0</v>
      </c>
      <c r="CS70" s="409">
        <f t="shared" si="29"/>
        <v>0</v>
      </c>
      <c r="CT70" s="409">
        <f t="shared" si="30"/>
        <v>0</v>
      </c>
      <c r="CU70" s="409">
        <f t="shared" si="31"/>
        <v>0</v>
      </c>
      <c r="CV70" s="409">
        <f t="shared" si="32"/>
        <v>0</v>
      </c>
      <c r="CW70" s="409">
        <f t="shared" si="64"/>
        <v>0</v>
      </c>
      <c r="CX70" s="409">
        <f t="shared" si="65"/>
        <v>0</v>
      </c>
      <c r="CY70" s="409">
        <f t="shared" si="66"/>
        <v>0</v>
      </c>
      <c r="CZ70" s="409">
        <f t="shared" si="67"/>
        <v>0</v>
      </c>
      <c r="DA70" s="409">
        <f t="shared" si="68"/>
        <v>0</v>
      </c>
      <c r="DB70" s="409"/>
      <c r="DC70" s="409">
        <f t="shared" si="69"/>
        <v>0</v>
      </c>
      <c r="DD70" s="409">
        <f t="shared" si="70"/>
        <v>0</v>
      </c>
      <c r="DE70" s="409">
        <f t="shared" si="71"/>
        <v>0</v>
      </c>
      <c r="DF70" s="409">
        <f t="shared" si="72"/>
        <v>0</v>
      </c>
      <c r="DG70" s="409">
        <f t="shared" si="73"/>
        <v>0</v>
      </c>
      <c r="DH70" s="409">
        <f t="shared" si="74"/>
        <v>55</v>
      </c>
      <c r="DI70" s="409">
        <f t="shared" si="75"/>
        <v>0</v>
      </c>
      <c r="DJ70" s="560" t="b">
        <v>0</v>
      </c>
      <c r="DK70" s="560">
        <f t="shared" si="76"/>
        <v>0</v>
      </c>
      <c r="DL70" s="1044">
        <f>INDEX(Tiere!AG$30:AG$79,'Berechnung Nährstoffe und Lager'!$BL70)</f>
        <v>0</v>
      </c>
      <c r="DM70" s="570">
        <f>INDEX(Tiere!AH$30:AH$79,'Berechnung Nährstoffe und Lager'!$BL70)</f>
        <v>0</v>
      </c>
      <c r="DN70" s="570">
        <f>INDEX(Tiere!AI$30:AI$79,'Berechnung Nährstoffe und Lager'!$BL70)</f>
        <v>0</v>
      </c>
      <c r="DO70" s="1044">
        <f>INDEX(Tiere!AJ$30:AJ$79,'Berechnung Nährstoffe und Lager'!$BL70)</f>
        <v>0</v>
      </c>
      <c r="DP70" s="570">
        <f>INDEX(Tiere!AK$30:AK$79,'Berechnung Nährstoffe und Lager'!$BL70)</f>
        <v>0</v>
      </c>
      <c r="DQ70" s="570">
        <f>INDEX(Tiere!AL$30:AL$79,'Berechnung Nährstoffe und Lager'!$BL70)</f>
        <v>0</v>
      </c>
      <c r="DR70" s="570">
        <f>INDEX(Tiere!AM$30:AM$79,'Berechnung Nährstoffe und Lager'!$BL70)</f>
        <v>0</v>
      </c>
      <c r="DS70" s="570">
        <f>INDEX(Tiere!AN$30:AN$79,'Berechnung Nährstoffe und Lager'!$BL70)</f>
        <v>0</v>
      </c>
      <c r="DT70" s="566">
        <f t="shared" si="77"/>
        <v>0</v>
      </c>
      <c r="DU70" s="566">
        <f t="shared" si="33"/>
        <v>0</v>
      </c>
      <c r="DV70" s="566">
        <f t="shared" si="34"/>
        <v>0</v>
      </c>
      <c r="DW70" s="566">
        <f t="shared" si="35"/>
        <v>0</v>
      </c>
      <c r="DX70" s="566">
        <f t="shared" si="36"/>
        <v>0</v>
      </c>
      <c r="DY70" s="1268">
        <f t="shared" si="78"/>
        <v>0</v>
      </c>
      <c r="DZ70" s="1063">
        <f t="shared" si="79"/>
        <v>0</v>
      </c>
      <c r="EA70" s="1268">
        <f t="shared" si="80"/>
        <v>0</v>
      </c>
      <c r="EB70" s="1063">
        <f t="shared" si="81"/>
        <v>0</v>
      </c>
      <c r="EC70" s="1063">
        <f t="shared" si="37"/>
        <v>0</v>
      </c>
      <c r="ED70" s="406">
        <f t="shared" si="38"/>
        <v>0</v>
      </c>
      <c r="EE70" s="1063">
        <f t="shared" si="82"/>
        <v>0</v>
      </c>
      <c r="EF70" s="406" t="e">
        <f t="shared" si="39"/>
        <v>#DIV/0!</v>
      </c>
      <c r="EG70" s="406">
        <f t="shared" si="40"/>
        <v>0</v>
      </c>
      <c r="EH70" s="458" t="e">
        <f t="shared" ref="EH70:EH87" si="90">+((U70+W70)/2*DU70/100*DL70*DM70+((V70+X70)/2)*AR70/100*DO70*DP70)*DK70/EC70</f>
        <v>#DIV/0!</v>
      </c>
      <c r="EI70" s="458" t="e">
        <f t="shared" ref="EI70:EI87" si="91">(DV70+DX70)*EH70*((DZ70+EB70)/(DY70+EA70))/22.26*0.01605</f>
        <v>#DIV/0!</v>
      </c>
      <c r="EJ70" s="458" t="e">
        <f t="shared" si="83"/>
        <v>#DIV/0!</v>
      </c>
      <c r="EK70" s="406">
        <f t="shared" si="84"/>
        <v>0</v>
      </c>
      <c r="EL70" s="406">
        <f t="shared" si="85"/>
        <v>0</v>
      </c>
      <c r="EM70" s="521">
        <f t="shared" si="86"/>
        <v>0</v>
      </c>
      <c r="EN70" s="678">
        <f t="shared" si="87"/>
        <v>0</v>
      </c>
      <c r="EO70" s="678">
        <f t="shared" si="88"/>
        <v>0</v>
      </c>
    </row>
    <row r="71" spans="1:146" ht="18" customHeight="1" x14ac:dyDescent="0.2">
      <c r="A71" s="2033"/>
      <c r="B71" s="2034"/>
      <c r="C71" s="2034"/>
      <c r="D71" s="2034"/>
      <c r="E71" s="443"/>
      <c r="F71" s="450"/>
      <c r="G71" s="350"/>
      <c r="H71" s="443"/>
      <c r="I71" s="1122"/>
      <c r="J71" s="693" t="str">
        <f t="shared" si="41"/>
        <v xml:space="preserve"> </v>
      </c>
      <c r="K71" s="1931" t="str">
        <f t="shared" si="1"/>
        <v xml:space="preserve"> </v>
      </c>
      <c r="L71" s="1932"/>
      <c r="M71" s="1250"/>
      <c r="N71" s="19"/>
      <c r="O71" s="19"/>
      <c r="P71" s="560"/>
      <c r="Q71" s="560" t="str">
        <f t="shared" si="2"/>
        <v xml:space="preserve"> </v>
      </c>
      <c r="R71" s="560" t="str">
        <f t="shared" si="3"/>
        <v xml:space="preserve"> </v>
      </c>
      <c r="S71" s="560">
        <f t="shared" si="42"/>
        <v>0</v>
      </c>
      <c r="T71" s="641">
        <f t="shared" si="43"/>
        <v>0</v>
      </c>
      <c r="U71" s="560">
        <f t="shared" si="4"/>
        <v>0</v>
      </c>
      <c r="V71" s="560">
        <f t="shared" si="5"/>
        <v>0</v>
      </c>
      <c r="W71" s="560">
        <f t="shared" si="6"/>
        <v>0</v>
      </c>
      <c r="X71" s="560">
        <f>IF(CM71=FALSE,0,IF(AA71=0,0,IF(BD71+BA71=0,0,IF(BK71=4,BD71*BG71-(E71*(1-I71/100)*BG71)*((1220/1000)/(2*11)),BD71*BG71))))</f>
        <v>0</v>
      </c>
      <c r="Y71" s="560" t="str">
        <f t="shared" si="8"/>
        <v xml:space="preserve"> </v>
      </c>
      <c r="Z71" s="561">
        <f t="shared" si="9"/>
        <v>0</v>
      </c>
      <c r="AA71" s="562">
        <f t="shared" si="10"/>
        <v>0</v>
      </c>
      <c r="AB71" s="641">
        <f t="shared" si="44"/>
        <v>0</v>
      </c>
      <c r="AC71" s="641">
        <f t="shared" si="45"/>
        <v>0</v>
      </c>
      <c r="AD71" s="641">
        <f t="shared" si="46"/>
        <v>0</v>
      </c>
      <c r="AE71" s="641">
        <f t="shared" si="47"/>
        <v>0</v>
      </c>
      <c r="AF71" s="563">
        <f t="shared" si="11"/>
        <v>0</v>
      </c>
      <c r="AG71" s="560">
        <f t="shared" si="12"/>
        <v>0</v>
      </c>
      <c r="AH71" s="560">
        <f t="shared" si="13"/>
        <v>0</v>
      </c>
      <c r="AI71" s="564">
        <f t="shared" si="14"/>
        <v>0</v>
      </c>
      <c r="AJ71" s="565">
        <f>INDEX(Tiere!K$30:K$79,'Berechnung Nährstoffe und Lager'!$BL71)</f>
        <v>0</v>
      </c>
      <c r="AK71" s="565">
        <f>INDEX(Tiere!S$30:S$79,'Berechnung Nährstoffe und Lager'!BL71)</f>
        <v>0</v>
      </c>
      <c r="AL71" s="560">
        <f t="shared" si="48"/>
        <v>0</v>
      </c>
      <c r="AM71" s="560">
        <f t="shared" si="49"/>
        <v>0</v>
      </c>
      <c r="AN71" s="560">
        <f t="shared" si="50"/>
        <v>0</v>
      </c>
      <c r="AO71" s="563">
        <f t="shared" si="15"/>
        <v>0</v>
      </c>
      <c r="AP71" s="560">
        <f t="shared" si="16"/>
        <v>0</v>
      </c>
      <c r="AQ71" s="564">
        <f t="shared" si="17"/>
        <v>0</v>
      </c>
      <c r="AR71" s="565">
        <f>INDEX(Tiere!P$30:P$79,'Berechnung Nährstoffe und Lager'!$BL71)</f>
        <v>0</v>
      </c>
      <c r="AS71" s="566">
        <f t="shared" si="51"/>
        <v>0</v>
      </c>
      <c r="AT71" s="566">
        <f t="shared" si="52"/>
        <v>0</v>
      </c>
      <c r="AU71" s="566">
        <f t="shared" si="53"/>
        <v>0</v>
      </c>
      <c r="AV71" s="563">
        <f t="shared" si="54"/>
        <v>0</v>
      </c>
      <c r="AW71" s="560">
        <f t="shared" si="55"/>
        <v>0</v>
      </c>
      <c r="AX71" s="564">
        <f t="shared" si="56"/>
        <v>0</v>
      </c>
      <c r="AY71" s="560"/>
      <c r="AZ71" s="638">
        <f t="shared" si="18"/>
        <v>0</v>
      </c>
      <c r="BA71" s="639">
        <f t="shared" si="19"/>
        <v>0</v>
      </c>
      <c r="BB71" s="639">
        <f t="shared" si="20"/>
        <v>0</v>
      </c>
      <c r="BC71" s="563">
        <f t="shared" si="21"/>
        <v>0</v>
      </c>
      <c r="BD71" s="560">
        <f t="shared" si="22"/>
        <v>0</v>
      </c>
      <c r="BE71" s="564">
        <f t="shared" si="23"/>
        <v>0</v>
      </c>
      <c r="BF71" s="570">
        <f t="shared" si="57"/>
        <v>0</v>
      </c>
      <c r="BG71" s="1313">
        <f t="shared" si="58"/>
        <v>0</v>
      </c>
      <c r="BH71" s="570">
        <f t="shared" si="89"/>
        <v>0</v>
      </c>
      <c r="BI71" s="570">
        <f t="shared" si="59"/>
        <v>0</v>
      </c>
      <c r="BJ71" s="570">
        <f t="shared" si="60"/>
        <v>0</v>
      </c>
      <c r="BK71" s="571">
        <f t="shared" si="61"/>
        <v>1</v>
      </c>
      <c r="BL71" s="572">
        <v>1</v>
      </c>
      <c r="BM71" s="572">
        <v>1</v>
      </c>
      <c r="BN71" s="571">
        <f>INDEX(Tiere!C$30:C$79,'Berechnung Nährstoffe und Lager'!$BL71)</f>
        <v>0</v>
      </c>
      <c r="BO71" s="571" t="str">
        <f t="shared" si="62"/>
        <v>1</v>
      </c>
      <c r="BP71" s="571">
        <f t="shared" si="63"/>
        <v>0</v>
      </c>
      <c r="BQ71" s="570">
        <f>INDEX(Tiere!D$30:D$79,'Berechnung Nährstoffe und Lager'!$BL71)</f>
        <v>0</v>
      </c>
      <c r="BR71" s="566">
        <f>INDEX(Tiere!E$30:E$79,'Berechnung Nährstoffe und Lager'!$BL71)</f>
        <v>0</v>
      </c>
      <c r="BS71" s="567">
        <f>INDEX(Tiere!F$30:F$79,'Berechnung Nährstoffe und Lager'!$BL71)</f>
        <v>0</v>
      </c>
      <c r="BT71" s="566">
        <f>INDEX(Tiere!J$30:J$79,'Berechnung Nährstoffe und Lager'!$BL71)</f>
        <v>0</v>
      </c>
      <c r="BU71" s="566">
        <f>INDEX(Tiere!R$30:R$79,'Berechnung Nährstoffe und Lager'!$BL71)</f>
        <v>0</v>
      </c>
      <c r="BV71" s="570">
        <f>INDEX(Tiere!M$30:M$79,'Berechnung Nährstoffe und Lager'!$BL71)</f>
        <v>0</v>
      </c>
      <c r="BW71" s="566">
        <f>INDEX(Tiere!N$30:N$79,'Berechnung Nährstoffe und Lager'!$BL71)</f>
        <v>0</v>
      </c>
      <c r="BX71" s="567">
        <f>INDEX(Tiere!O$30:O$79,'Berechnung Nährstoffe und Lager'!$BL71)</f>
        <v>0</v>
      </c>
      <c r="BY71" s="570">
        <f>INDEX(Tiere!T$30:T$79,'Berechnung Nährstoffe und Lager'!$BL71)</f>
        <v>0</v>
      </c>
      <c r="BZ71" s="567">
        <f>INDEX(Tiere!U$30:U$79,'Berechnung Nährstoffe und Lager'!$BL71)</f>
        <v>0</v>
      </c>
      <c r="CA71" s="573">
        <f>INDEX(Tiere!V$30:V$79,'Berechnung Nährstoffe und Lager'!$BL71)</f>
        <v>0</v>
      </c>
      <c r="CB71" s="567">
        <f>INDEX(Tiere!W$30:W$79,'Berechnung Nährstoffe und Lager'!$BL71)</f>
        <v>0</v>
      </c>
      <c r="CC71" s="567">
        <f>INDEX(Tiere!X$30:X$79,'Berechnung Nährstoffe und Lager'!$BL71)</f>
        <v>0</v>
      </c>
      <c r="CD71" s="567">
        <f>INDEX(Tiere!Y$30:Y$79,'Berechnung Nährstoffe und Lager'!$BL71)</f>
        <v>0</v>
      </c>
      <c r="CE71" s="560">
        <v>5</v>
      </c>
      <c r="CF71" s="560">
        <v>3</v>
      </c>
      <c r="CG71" s="564">
        <v>17</v>
      </c>
      <c r="CH71" s="560">
        <f>INDEX(Tiere!AB$30:AB$79,'Berechnung Nährstoffe und Lager'!$BL71)</f>
        <v>0</v>
      </c>
      <c r="CI71" s="560">
        <f t="shared" si="24"/>
        <v>0</v>
      </c>
      <c r="CJ71" s="560">
        <f t="shared" si="25"/>
        <v>0</v>
      </c>
      <c r="CK71" s="564">
        <f t="shared" si="26"/>
        <v>0</v>
      </c>
      <c r="CL71" s="560"/>
      <c r="CM71" s="1065" t="b">
        <f t="shared" si="27"/>
        <v>0</v>
      </c>
      <c r="CN71" s="560"/>
      <c r="CO71" s="570">
        <f>INDEX(Tiere!AC$30:AC$79,'Berechnung Nährstoffe und Lager'!$BL71)</f>
        <v>0</v>
      </c>
      <c r="CP71" s="570">
        <f>INDEX(Tiere!AD$30:AD$79,'Berechnung Nährstoffe und Lager'!$BL71)</f>
        <v>0</v>
      </c>
      <c r="CQ71" s="570">
        <f>INDEX(Tiere!AE$30:AE$79,'Berechnung Nährstoffe und Lager'!$BL71)</f>
        <v>0</v>
      </c>
      <c r="CR71" s="406">
        <f t="shared" si="28"/>
        <v>0</v>
      </c>
      <c r="CS71" s="409">
        <f t="shared" si="29"/>
        <v>0</v>
      </c>
      <c r="CT71" s="409">
        <f t="shared" si="30"/>
        <v>0</v>
      </c>
      <c r="CU71" s="409">
        <f t="shared" si="31"/>
        <v>0</v>
      </c>
      <c r="CV71" s="409">
        <f t="shared" si="32"/>
        <v>0</v>
      </c>
      <c r="CW71" s="409">
        <f t="shared" si="64"/>
        <v>0</v>
      </c>
      <c r="CX71" s="409">
        <f t="shared" si="65"/>
        <v>0</v>
      </c>
      <c r="CY71" s="409">
        <f t="shared" si="66"/>
        <v>0</v>
      </c>
      <c r="CZ71" s="409">
        <f t="shared" si="67"/>
        <v>0</v>
      </c>
      <c r="DA71" s="409">
        <f t="shared" si="68"/>
        <v>0</v>
      </c>
      <c r="DB71" s="409"/>
      <c r="DC71" s="409">
        <f t="shared" si="69"/>
        <v>0</v>
      </c>
      <c r="DD71" s="409">
        <f t="shared" si="70"/>
        <v>0</v>
      </c>
      <c r="DE71" s="409">
        <f t="shared" si="71"/>
        <v>0</v>
      </c>
      <c r="DF71" s="409">
        <f t="shared" si="72"/>
        <v>0</v>
      </c>
      <c r="DG71" s="409">
        <f t="shared" si="73"/>
        <v>0</v>
      </c>
      <c r="DH71" s="409">
        <f t="shared" si="74"/>
        <v>55</v>
      </c>
      <c r="DI71" s="409">
        <f t="shared" si="75"/>
        <v>0</v>
      </c>
      <c r="DJ71" s="560" t="b">
        <v>0</v>
      </c>
      <c r="DK71" s="560">
        <f t="shared" si="76"/>
        <v>0</v>
      </c>
      <c r="DL71" s="1044">
        <f>INDEX(Tiere!AG$30:AG$79,'Berechnung Nährstoffe und Lager'!$BL71)</f>
        <v>0</v>
      </c>
      <c r="DM71" s="570">
        <f>INDEX(Tiere!AH$30:AH$79,'Berechnung Nährstoffe und Lager'!$BL71)</f>
        <v>0</v>
      </c>
      <c r="DN71" s="570">
        <f>INDEX(Tiere!AI$30:AI$79,'Berechnung Nährstoffe und Lager'!$BL71)</f>
        <v>0</v>
      </c>
      <c r="DO71" s="1044">
        <f>INDEX(Tiere!AJ$30:AJ$79,'Berechnung Nährstoffe und Lager'!$BL71)</f>
        <v>0</v>
      </c>
      <c r="DP71" s="570">
        <f>INDEX(Tiere!AK$30:AK$79,'Berechnung Nährstoffe und Lager'!$BL71)</f>
        <v>0</v>
      </c>
      <c r="DQ71" s="570">
        <f>INDEX(Tiere!AL$30:AL$79,'Berechnung Nährstoffe und Lager'!$BL71)</f>
        <v>0</v>
      </c>
      <c r="DR71" s="570">
        <f>INDEX(Tiere!AM$30:AM$79,'Berechnung Nährstoffe und Lager'!$BL71)</f>
        <v>0</v>
      </c>
      <c r="DS71" s="570">
        <f>INDEX(Tiere!AN$30:AN$79,'Berechnung Nährstoffe und Lager'!$BL71)</f>
        <v>0</v>
      </c>
      <c r="DT71" s="566">
        <f t="shared" si="77"/>
        <v>0</v>
      </c>
      <c r="DU71" s="566">
        <f t="shared" si="33"/>
        <v>0</v>
      </c>
      <c r="DV71" s="566">
        <f t="shared" si="34"/>
        <v>0</v>
      </c>
      <c r="DW71" s="566">
        <f t="shared" si="35"/>
        <v>0</v>
      </c>
      <c r="DX71" s="566">
        <f t="shared" si="36"/>
        <v>0</v>
      </c>
      <c r="DY71" s="1268">
        <f t="shared" si="78"/>
        <v>0</v>
      </c>
      <c r="DZ71" s="1063">
        <f t="shared" si="79"/>
        <v>0</v>
      </c>
      <c r="EA71" s="1268">
        <f t="shared" si="80"/>
        <v>0</v>
      </c>
      <c r="EB71" s="1063">
        <f t="shared" si="81"/>
        <v>0</v>
      </c>
      <c r="EC71" s="1063">
        <f t="shared" si="37"/>
        <v>0</v>
      </c>
      <c r="ED71" s="406">
        <f t="shared" si="38"/>
        <v>0</v>
      </c>
      <c r="EE71" s="1063">
        <f t="shared" si="82"/>
        <v>0</v>
      </c>
      <c r="EF71" s="406" t="e">
        <f t="shared" si="39"/>
        <v>#DIV/0!</v>
      </c>
      <c r="EG71" s="406">
        <f t="shared" si="40"/>
        <v>0</v>
      </c>
      <c r="EH71" s="458" t="e">
        <f t="shared" si="90"/>
        <v>#DIV/0!</v>
      </c>
      <c r="EI71" s="458" t="e">
        <f t="shared" si="91"/>
        <v>#DIV/0!</v>
      </c>
      <c r="EJ71" s="458" t="e">
        <f t="shared" si="83"/>
        <v>#DIV/0!</v>
      </c>
      <c r="EK71" s="406">
        <f t="shared" si="84"/>
        <v>0</v>
      </c>
      <c r="EL71" s="406">
        <f t="shared" si="85"/>
        <v>0</v>
      </c>
      <c r="EM71" s="521">
        <f t="shared" si="86"/>
        <v>0</v>
      </c>
      <c r="EN71" s="678">
        <f t="shared" si="87"/>
        <v>0</v>
      </c>
      <c r="EO71" s="678">
        <f t="shared" si="88"/>
        <v>0</v>
      </c>
    </row>
    <row r="72" spans="1:146" ht="18" customHeight="1" x14ac:dyDescent="0.2">
      <c r="A72" s="2033"/>
      <c r="B72" s="2034"/>
      <c r="C72" s="2034"/>
      <c r="D72" s="2034"/>
      <c r="E72" s="443"/>
      <c r="F72" s="450"/>
      <c r="G72" s="350"/>
      <c r="H72" s="443"/>
      <c r="I72" s="1122"/>
      <c r="J72" s="693" t="str">
        <f t="shared" si="41"/>
        <v xml:space="preserve"> </v>
      </c>
      <c r="K72" s="1931" t="str">
        <f t="shared" si="1"/>
        <v xml:space="preserve"> </v>
      </c>
      <c r="L72" s="1932"/>
      <c r="M72" s="1250"/>
      <c r="N72" s="20"/>
      <c r="O72" s="20"/>
      <c r="P72" s="532"/>
      <c r="Q72" s="560" t="str">
        <f t="shared" si="2"/>
        <v xml:space="preserve"> </v>
      </c>
      <c r="R72" s="560" t="str">
        <f t="shared" si="3"/>
        <v xml:space="preserve"> </v>
      </c>
      <c r="S72" s="560">
        <f t="shared" si="42"/>
        <v>0</v>
      </c>
      <c r="T72" s="641">
        <f t="shared" si="43"/>
        <v>0</v>
      </c>
      <c r="U72" s="560">
        <f t="shared" si="4"/>
        <v>0</v>
      </c>
      <c r="V72" s="560">
        <f t="shared" si="5"/>
        <v>0</v>
      </c>
      <c r="W72" s="560">
        <f t="shared" si="6"/>
        <v>0</v>
      </c>
      <c r="X72" s="560">
        <f t="shared" si="7"/>
        <v>0</v>
      </c>
      <c r="Y72" s="560" t="str">
        <f t="shared" si="8"/>
        <v xml:space="preserve"> </v>
      </c>
      <c r="Z72" s="561">
        <f t="shared" si="9"/>
        <v>0</v>
      </c>
      <c r="AA72" s="562">
        <f t="shared" si="10"/>
        <v>0</v>
      </c>
      <c r="AB72" s="641">
        <f t="shared" si="44"/>
        <v>0</v>
      </c>
      <c r="AC72" s="641">
        <f t="shared" si="45"/>
        <v>0</v>
      </c>
      <c r="AD72" s="641">
        <f t="shared" si="46"/>
        <v>0</v>
      </c>
      <c r="AE72" s="641">
        <f t="shared" si="47"/>
        <v>0</v>
      </c>
      <c r="AF72" s="563">
        <f t="shared" si="11"/>
        <v>0</v>
      </c>
      <c r="AG72" s="560">
        <f t="shared" si="12"/>
        <v>0</v>
      </c>
      <c r="AH72" s="560">
        <f t="shared" si="13"/>
        <v>0</v>
      </c>
      <c r="AI72" s="564">
        <f t="shared" si="14"/>
        <v>0</v>
      </c>
      <c r="AJ72" s="565">
        <f>INDEX(Tiere!K$30:K$79,'Berechnung Nährstoffe und Lager'!$BL72)</f>
        <v>0</v>
      </c>
      <c r="AK72" s="565">
        <f>INDEX(Tiere!S$30:S$79,'Berechnung Nährstoffe und Lager'!BL72)</f>
        <v>0</v>
      </c>
      <c r="AL72" s="560">
        <f t="shared" si="48"/>
        <v>0</v>
      </c>
      <c r="AM72" s="560">
        <f t="shared" si="49"/>
        <v>0</v>
      </c>
      <c r="AN72" s="560">
        <f t="shared" si="50"/>
        <v>0</v>
      </c>
      <c r="AO72" s="563">
        <f t="shared" si="15"/>
        <v>0</v>
      </c>
      <c r="AP72" s="560">
        <f t="shared" si="16"/>
        <v>0</v>
      </c>
      <c r="AQ72" s="564">
        <f t="shared" si="17"/>
        <v>0</v>
      </c>
      <c r="AR72" s="565">
        <f>INDEX(Tiere!P$30:P$79,'Berechnung Nährstoffe und Lager'!$BL72)</f>
        <v>0</v>
      </c>
      <c r="AS72" s="566">
        <f t="shared" si="51"/>
        <v>0</v>
      </c>
      <c r="AT72" s="566">
        <f t="shared" si="52"/>
        <v>0</v>
      </c>
      <c r="AU72" s="566">
        <f t="shared" si="53"/>
        <v>0</v>
      </c>
      <c r="AV72" s="563">
        <f t="shared" si="54"/>
        <v>0</v>
      </c>
      <c r="AW72" s="560">
        <f t="shared" si="55"/>
        <v>0</v>
      </c>
      <c r="AX72" s="564">
        <f t="shared" si="56"/>
        <v>0</v>
      </c>
      <c r="AY72" s="560"/>
      <c r="AZ72" s="638">
        <f t="shared" si="18"/>
        <v>0</v>
      </c>
      <c r="BA72" s="639">
        <f t="shared" si="19"/>
        <v>0</v>
      </c>
      <c r="BB72" s="639">
        <f t="shared" si="20"/>
        <v>0</v>
      </c>
      <c r="BC72" s="563">
        <f t="shared" si="21"/>
        <v>0</v>
      </c>
      <c r="BD72" s="560">
        <f t="shared" si="22"/>
        <v>0</v>
      </c>
      <c r="BE72" s="564">
        <f t="shared" si="23"/>
        <v>0</v>
      </c>
      <c r="BF72" s="570">
        <f t="shared" si="57"/>
        <v>0</v>
      </c>
      <c r="BG72" s="567">
        <f t="shared" si="58"/>
        <v>0</v>
      </c>
      <c r="BH72" s="570">
        <f t="shared" si="89"/>
        <v>0</v>
      </c>
      <c r="BI72" s="570">
        <f t="shared" si="59"/>
        <v>0</v>
      </c>
      <c r="BJ72" s="570">
        <f t="shared" si="60"/>
        <v>0</v>
      </c>
      <c r="BK72" s="571">
        <f t="shared" si="61"/>
        <v>1</v>
      </c>
      <c r="BL72" s="572">
        <v>1</v>
      </c>
      <c r="BM72" s="572">
        <v>1</v>
      </c>
      <c r="BN72" s="571">
        <f>INDEX(Tiere!C$30:C$79,'Berechnung Nährstoffe und Lager'!$BL72)</f>
        <v>0</v>
      </c>
      <c r="BO72" s="571" t="str">
        <f t="shared" si="62"/>
        <v>1</v>
      </c>
      <c r="BP72" s="571">
        <f t="shared" si="63"/>
        <v>0</v>
      </c>
      <c r="BQ72" s="570">
        <f>INDEX(Tiere!D$30:D$79,'Berechnung Nährstoffe und Lager'!$BL72)</f>
        <v>0</v>
      </c>
      <c r="BR72" s="566">
        <f>INDEX(Tiere!E$30:E$79,'Berechnung Nährstoffe und Lager'!$BL72)</f>
        <v>0</v>
      </c>
      <c r="BS72" s="567">
        <f>INDEX(Tiere!F$30:F$79,'Berechnung Nährstoffe und Lager'!$BL72)</f>
        <v>0</v>
      </c>
      <c r="BT72" s="566">
        <f>INDEX(Tiere!J$30:J$79,'Berechnung Nährstoffe und Lager'!$BL72)</f>
        <v>0</v>
      </c>
      <c r="BU72" s="566">
        <f>INDEX(Tiere!R$30:R$79,'Berechnung Nährstoffe und Lager'!$BL72)</f>
        <v>0</v>
      </c>
      <c r="BV72" s="570">
        <f>INDEX(Tiere!M$30:M$79,'Berechnung Nährstoffe und Lager'!$BL72)</f>
        <v>0</v>
      </c>
      <c r="BW72" s="566">
        <f>INDEX(Tiere!N$30:N$79,'Berechnung Nährstoffe und Lager'!$BL72)</f>
        <v>0</v>
      </c>
      <c r="BX72" s="567">
        <f>INDEX(Tiere!O$30:O$79,'Berechnung Nährstoffe und Lager'!$BL72)</f>
        <v>0</v>
      </c>
      <c r="BY72" s="570">
        <f>INDEX(Tiere!T$30:T$79,'Berechnung Nährstoffe und Lager'!$BL72)</f>
        <v>0</v>
      </c>
      <c r="BZ72" s="567">
        <f>INDEX(Tiere!U$30:U$79,'Berechnung Nährstoffe und Lager'!$BL72)</f>
        <v>0</v>
      </c>
      <c r="CA72" s="573">
        <f>INDEX(Tiere!V$30:V$79,'Berechnung Nährstoffe und Lager'!$BL72)</f>
        <v>0</v>
      </c>
      <c r="CB72" s="567">
        <f>INDEX(Tiere!W$30:W$79,'Berechnung Nährstoffe und Lager'!$BL72)</f>
        <v>0</v>
      </c>
      <c r="CC72" s="567">
        <f>INDEX(Tiere!X$30:X$79,'Berechnung Nährstoffe und Lager'!$BL72)</f>
        <v>0</v>
      </c>
      <c r="CD72" s="567">
        <f>INDEX(Tiere!Y$30:Y$79,'Berechnung Nährstoffe und Lager'!$BL72)</f>
        <v>0</v>
      </c>
      <c r="CE72" s="532">
        <v>5</v>
      </c>
      <c r="CF72" s="532">
        <v>3</v>
      </c>
      <c r="CG72" s="554">
        <v>17</v>
      </c>
      <c r="CH72" s="560">
        <f>INDEX(Tiere!AB$30:AB$79,'Berechnung Nährstoffe und Lager'!$BL72)</f>
        <v>0</v>
      </c>
      <c r="CI72" s="560">
        <f t="shared" si="24"/>
        <v>0</v>
      </c>
      <c r="CJ72" s="560">
        <f t="shared" si="25"/>
        <v>0</v>
      </c>
      <c r="CK72" s="564">
        <f t="shared" si="26"/>
        <v>0</v>
      </c>
      <c r="CL72" s="532"/>
      <c r="CM72" s="1065" t="b">
        <f t="shared" si="27"/>
        <v>0</v>
      </c>
      <c r="CN72" s="532"/>
      <c r="CO72" s="570">
        <f>INDEX(Tiere!AC$30:AC$79,'Berechnung Nährstoffe und Lager'!$BL72)</f>
        <v>0</v>
      </c>
      <c r="CP72" s="570">
        <f>INDEX(Tiere!AD$30:AD$79,'Berechnung Nährstoffe und Lager'!$BL72)</f>
        <v>0</v>
      </c>
      <c r="CQ72" s="570">
        <f>INDEX(Tiere!AE$30:AE$79,'Berechnung Nährstoffe und Lager'!$BL72)</f>
        <v>0</v>
      </c>
      <c r="CR72" s="406">
        <f t="shared" si="28"/>
        <v>0</v>
      </c>
      <c r="CS72" s="409">
        <f t="shared" si="29"/>
        <v>0</v>
      </c>
      <c r="CT72" s="409">
        <f t="shared" si="30"/>
        <v>0</v>
      </c>
      <c r="CU72" s="409">
        <f t="shared" si="31"/>
        <v>0</v>
      </c>
      <c r="CV72" s="409">
        <f t="shared" si="32"/>
        <v>0</v>
      </c>
      <c r="CW72" s="409">
        <f t="shared" si="64"/>
        <v>0</v>
      </c>
      <c r="CX72" s="409">
        <f t="shared" si="65"/>
        <v>0</v>
      </c>
      <c r="CY72" s="409">
        <f t="shared" si="66"/>
        <v>0</v>
      </c>
      <c r="CZ72" s="409">
        <f t="shared" si="67"/>
        <v>0</v>
      </c>
      <c r="DA72" s="409">
        <f t="shared" si="68"/>
        <v>0</v>
      </c>
      <c r="DB72" s="409"/>
      <c r="DC72" s="409">
        <f t="shared" si="69"/>
        <v>0</v>
      </c>
      <c r="DD72" s="409">
        <f t="shared" si="70"/>
        <v>0</v>
      </c>
      <c r="DE72" s="409">
        <f t="shared" si="71"/>
        <v>0</v>
      </c>
      <c r="DF72" s="409">
        <f t="shared" si="72"/>
        <v>0</v>
      </c>
      <c r="DG72" s="409">
        <f t="shared" si="73"/>
        <v>0</v>
      </c>
      <c r="DH72" s="409">
        <f t="shared" si="74"/>
        <v>55</v>
      </c>
      <c r="DI72" s="409">
        <f t="shared" si="75"/>
        <v>0</v>
      </c>
      <c r="DJ72" s="532" t="b">
        <v>0</v>
      </c>
      <c r="DK72" s="560">
        <f t="shared" si="76"/>
        <v>0</v>
      </c>
      <c r="DL72" s="1044">
        <f>INDEX(Tiere!AG$30:AG$79,'Berechnung Nährstoffe und Lager'!$BL72)</f>
        <v>0</v>
      </c>
      <c r="DM72" s="570">
        <f>INDEX(Tiere!AH$30:AH$79,'Berechnung Nährstoffe und Lager'!$BL72)</f>
        <v>0</v>
      </c>
      <c r="DN72" s="570">
        <f>INDEX(Tiere!AI$30:AI$79,'Berechnung Nährstoffe und Lager'!$BL72)</f>
        <v>0</v>
      </c>
      <c r="DO72" s="1044">
        <f>INDEX(Tiere!AJ$30:AJ$79,'Berechnung Nährstoffe und Lager'!$BL72)</f>
        <v>0</v>
      </c>
      <c r="DP72" s="570">
        <f>INDEX(Tiere!AK$30:AK$79,'Berechnung Nährstoffe und Lager'!$BL72)</f>
        <v>0</v>
      </c>
      <c r="DQ72" s="570">
        <f>INDEX(Tiere!AL$30:AL$79,'Berechnung Nährstoffe und Lager'!$BL72)</f>
        <v>0</v>
      </c>
      <c r="DR72" s="570">
        <f>INDEX(Tiere!AM$30:AM$79,'Berechnung Nährstoffe und Lager'!$BL72)</f>
        <v>0</v>
      </c>
      <c r="DS72" s="570">
        <f>INDEX(Tiere!AN$30:AN$79,'Berechnung Nährstoffe und Lager'!$BL72)</f>
        <v>0</v>
      </c>
      <c r="DT72" s="566">
        <f t="shared" si="77"/>
        <v>0</v>
      </c>
      <c r="DU72" s="566">
        <f t="shared" si="33"/>
        <v>0</v>
      </c>
      <c r="DV72" s="566">
        <f t="shared" si="34"/>
        <v>0</v>
      </c>
      <c r="DW72" s="566">
        <f t="shared" si="35"/>
        <v>0</v>
      </c>
      <c r="DX72" s="566">
        <f t="shared" si="36"/>
        <v>0</v>
      </c>
      <c r="DY72" s="1268">
        <f t="shared" si="78"/>
        <v>0</v>
      </c>
      <c r="DZ72" s="1063">
        <f t="shared" si="79"/>
        <v>0</v>
      </c>
      <c r="EA72" s="1268">
        <f t="shared" si="80"/>
        <v>0</v>
      </c>
      <c r="EB72" s="1063">
        <f t="shared" si="81"/>
        <v>0</v>
      </c>
      <c r="EC72" s="1063">
        <f t="shared" si="37"/>
        <v>0</v>
      </c>
      <c r="ED72" s="406">
        <f t="shared" si="38"/>
        <v>0</v>
      </c>
      <c r="EE72" s="1063">
        <f t="shared" si="82"/>
        <v>0</v>
      </c>
      <c r="EF72" s="406" t="e">
        <f t="shared" si="39"/>
        <v>#DIV/0!</v>
      </c>
      <c r="EG72" s="406">
        <f t="shared" si="40"/>
        <v>0</v>
      </c>
      <c r="EH72" s="458" t="e">
        <f t="shared" si="90"/>
        <v>#DIV/0!</v>
      </c>
      <c r="EI72" s="458" t="e">
        <f t="shared" si="91"/>
        <v>#DIV/0!</v>
      </c>
      <c r="EJ72" s="458" t="e">
        <f t="shared" si="83"/>
        <v>#DIV/0!</v>
      </c>
      <c r="EK72" s="406">
        <f t="shared" si="84"/>
        <v>0</v>
      </c>
      <c r="EL72" s="406">
        <f t="shared" si="85"/>
        <v>0</v>
      </c>
      <c r="EM72" s="521">
        <f t="shared" si="86"/>
        <v>0</v>
      </c>
      <c r="EN72" s="678">
        <f t="shared" si="87"/>
        <v>0</v>
      </c>
      <c r="EO72" s="678">
        <f t="shared" si="88"/>
        <v>0</v>
      </c>
    </row>
    <row r="73" spans="1:146" ht="18" customHeight="1" x14ac:dyDescent="0.2">
      <c r="A73" s="2033"/>
      <c r="B73" s="2034"/>
      <c r="C73" s="2034"/>
      <c r="D73" s="2034"/>
      <c r="E73" s="443"/>
      <c r="F73" s="450"/>
      <c r="G73" s="350"/>
      <c r="H73" s="443"/>
      <c r="I73" s="1122"/>
      <c r="J73" s="693" t="str">
        <f t="shared" si="41"/>
        <v xml:space="preserve"> </v>
      </c>
      <c r="K73" s="1931" t="str">
        <f t="shared" si="1"/>
        <v xml:space="preserve"> </v>
      </c>
      <c r="L73" s="1932"/>
      <c r="M73" s="1250"/>
      <c r="N73" s="20"/>
      <c r="O73" s="20"/>
      <c r="P73" s="532"/>
      <c r="Q73" s="560" t="str">
        <f t="shared" si="2"/>
        <v xml:space="preserve"> </v>
      </c>
      <c r="R73" s="560" t="str">
        <f t="shared" si="3"/>
        <v xml:space="preserve"> </v>
      </c>
      <c r="S73" s="560">
        <f t="shared" si="42"/>
        <v>0</v>
      </c>
      <c r="T73" s="641">
        <f t="shared" si="43"/>
        <v>0</v>
      </c>
      <c r="U73" s="560">
        <f t="shared" si="4"/>
        <v>0</v>
      </c>
      <c r="V73" s="560">
        <f t="shared" si="5"/>
        <v>0</v>
      </c>
      <c r="W73" s="560">
        <f t="shared" si="6"/>
        <v>0</v>
      </c>
      <c r="X73" s="560">
        <f t="shared" si="7"/>
        <v>0</v>
      </c>
      <c r="Y73" s="560" t="str">
        <f t="shared" si="8"/>
        <v xml:space="preserve"> </v>
      </c>
      <c r="Z73" s="561">
        <f t="shared" si="9"/>
        <v>0</v>
      </c>
      <c r="AA73" s="562">
        <f t="shared" si="10"/>
        <v>0</v>
      </c>
      <c r="AB73" s="641">
        <f t="shared" si="44"/>
        <v>0</v>
      </c>
      <c r="AC73" s="641">
        <f t="shared" si="45"/>
        <v>0</v>
      </c>
      <c r="AD73" s="641">
        <f t="shared" si="46"/>
        <v>0</v>
      </c>
      <c r="AE73" s="641">
        <f t="shared" si="47"/>
        <v>0</v>
      </c>
      <c r="AF73" s="563">
        <f t="shared" si="11"/>
        <v>0</v>
      </c>
      <c r="AG73" s="560">
        <f t="shared" si="12"/>
        <v>0</v>
      </c>
      <c r="AH73" s="560">
        <f t="shared" si="13"/>
        <v>0</v>
      </c>
      <c r="AI73" s="564">
        <f t="shared" si="14"/>
        <v>0</v>
      </c>
      <c r="AJ73" s="565">
        <f>INDEX(Tiere!K$30:K$79,'Berechnung Nährstoffe und Lager'!$BL73)</f>
        <v>0</v>
      </c>
      <c r="AK73" s="565">
        <f>INDEX(Tiere!S$30:S$79,'Berechnung Nährstoffe und Lager'!BL73)</f>
        <v>0</v>
      </c>
      <c r="AL73" s="560">
        <f t="shared" si="48"/>
        <v>0</v>
      </c>
      <c r="AM73" s="560">
        <f t="shared" si="49"/>
        <v>0</v>
      </c>
      <c r="AN73" s="560">
        <f t="shared" si="50"/>
        <v>0</v>
      </c>
      <c r="AO73" s="563">
        <f t="shared" si="15"/>
        <v>0</v>
      </c>
      <c r="AP73" s="560">
        <f t="shared" si="16"/>
        <v>0</v>
      </c>
      <c r="AQ73" s="564">
        <f t="shared" si="17"/>
        <v>0</v>
      </c>
      <c r="AR73" s="565">
        <f>INDEX(Tiere!P$30:P$79,'Berechnung Nährstoffe und Lager'!$BL73)</f>
        <v>0</v>
      </c>
      <c r="AS73" s="566">
        <f t="shared" si="51"/>
        <v>0</v>
      </c>
      <c r="AT73" s="566">
        <f t="shared" si="52"/>
        <v>0</v>
      </c>
      <c r="AU73" s="566">
        <f t="shared" si="53"/>
        <v>0</v>
      </c>
      <c r="AV73" s="563">
        <f t="shared" si="54"/>
        <v>0</v>
      </c>
      <c r="AW73" s="560">
        <f t="shared" si="55"/>
        <v>0</v>
      </c>
      <c r="AX73" s="564">
        <f t="shared" si="56"/>
        <v>0</v>
      </c>
      <c r="AY73" s="560"/>
      <c r="AZ73" s="638">
        <f t="shared" si="18"/>
        <v>0</v>
      </c>
      <c r="BA73" s="639">
        <f t="shared" si="19"/>
        <v>0</v>
      </c>
      <c r="BB73" s="639">
        <f t="shared" si="20"/>
        <v>0</v>
      </c>
      <c r="BC73" s="563">
        <f t="shared" si="21"/>
        <v>0</v>
      </c>
      <c r="BD73" s="560">
        <f t="shared" si="22"/>
        <v>0</v>
      </c>
      <c r="BE73" s="564">
        <f t="shared" si="23"/>
        <v>0</v>
      </c>
      <c r="BF73" s="570">
        <f t="shared" si="57"/>
        <v>0</v>
      </c>
      <c r="BG73" s="567">
        <f t="shared" si="58"/>
        <v>0</v>
      </c>
      <c r="BH73" s="570">
        <f t="shared" si="89"/>
        <v>0</v>
      </c>
      <c r="BI73" s="570">
        <f t="shared" si="59"/>
        <v>0</v>
      </c>
      <c r="BJ73" s="570">
        <f t="shared" si="60"/>
        <v>0</v>
      </c>
      <c r="BK73" s="571">
        <f t="shared" si="61"/>
        <v>1</v>
      </c>
      <c r="BL73" s="572">
        <v>1</v>
      </c>
      <c r="BM73" s="572">
        <v>1</v>
      </c>
      <c r="BN73" s="571">
        <f>INDEX(Tiere!C$30:C$79,'Berechnung Nährstoffe und Lager'!$BL73)</f>
        <v>0</v>
      </c>
      <c r="BO73" s="571" t="str">
        <f t="shared" si="62"/>
        <v>1</v>
      </c>
      <c r="BP73" s="571">
        <f t="shared" si="63"/>
        <v>0</v>
      </c>
      <c r="BQ73" s="570">
        <f>INDEX(Tiere!D$30:D$79,'Berechnung Nährstoffe und Lager'!$BL73)</f>
        <v>0</v>
      </c>
      <c r="BR73" s="566">
        <f>INDEX(Tiere!E$30:E$79,'Berechnung Nährstoffe und Lager'!$BL73)</f>
        <v>0</v>
      </c>
      <c r="BS73" s="567">
        <f>INDEX(Tiere!F$30:F$79,'Berechnung Nährstoffe und Lager'!$BL73)</f>
        <v>0</v>
      </c>
      <c r="BT73" s="566">
        <f>INDEX(Tiere!J$30:J$79,'Berechnung Nährstoffe und Lager'!$BL73)</f>
        <v>0</v>
      </c>
      <c r="BU73" s="566">
        <f>INDEX(Tiere!R$30:R$79,'Berechnung Nährstoffe und Lager'!$BL73)</f>
        <v>0</v>
      </c>
      <c r="BV73" s="570">
        <f>INDEX(Tiere!M$30:M$79,'Berechnung Nährstoffe und Lager'!$BL73)</f>
        <v>0</v>
      </c>
      <c r="BW73" s="566">
        <f>INDEX(Tiere!N$30:N$79,'Berechnung Nährstoffe und Lager'!$BL73)</f>
        <v>0</v>
      </c>
      <c r="BX73" s="567">
        <f>INDEX(Tiere!O$30:O$79,'Berechnung Nährstoffe und Lager'!$BL73)</f>
        <v>0</v>
      </c>
      <c r="BY73" s="570">
        <f>INDEX(Tiere!T$30:T$79,'Berechnung Nährstoffe und Lager'!$BL73)</f>
        <v>0</v>
      </c>
      <c r="BZ73" s="567">
        <f>INDEX(Tiere!U$30:U$79,'Berechnung Nährstoffe und Lager'!$BL73)</f>
        <v>0</v>
      </c>
      <c r="CA73" s="573">
        <f>INDEX(Tiere!V$30:V$79,'Berechnung Nährstoffe und Lager'!$BL73)</f>
        <v>0</v>
      </c>
      <c r="CB73" s="567">
        <f>INDEX(Tiere!W$30:W$79,'Berechnung Nährstoffe und Lager'!$BL73)</f>
        <v>0</v>
      </c>
      <c r="CC73" s="567">
        <f>INDEX(Tiere!X$30:X$79,'Berechnung Nährstoffe und Lager'!$BL73)</f>
        <v>0</v>
      </c>
      <c r="CD73" s="567">
        <f>INDEX(Tiere!Y$30:Y$79,'Berechnung Nährstoffe und Lager'!$BL73)</f>
        <v>0</v>
      </c>
      <c r="CE73" s="532">
        <v>5</v>
      </c>
      <c r="CF73" s="532">
        <v>3</v>
      </c>
      <c r="CG73" s="554">
        <v>17</v>
      </c>
      <c r="CH73" s="560">
        <f>INDEX(Tiere!AB$30:AB$79,'Berechnung Nährstoffe und Lager'!$BL73)</f>
        <v>0</v>
      </c>
      <c r="CI73" s="560">
        <f t="shared" si="24"/>
        <v>0</v>
      </c>
      <c r="CJ73" s="560">
        <f t="shared" si="25"/>
        <v>0</v>
      </c>
      <c r="CK73" s="564">
        <f t="shared" si="26"/>
        <v>0</v>
      </c>
      <c r="CL73" s="532"/>
      <c r="CM73" s="1065" t="b">
        <f t="shared" si="27"/>
        <v>0</v>
      </c>
      <c r="CN73" s="532"/>
      <c r="CO73" s="570">
        <f>INDEX(Tiere!AC$30:AC$79,'Berechnung Nährstoffe und Lager'!$BL73)</f>
        <v>0</v>
      </c>
      <c r="CP73" s="570">
        <f>INDEX(Tiere!AD$30:AD$79,'Berechnung Nährstoffe und Lager'!$BL73)</f>
        <v>0</v>
      </c>
      <c r="CQ73" s="570">
        <f>INDEX(Tiere!AE$30:AE$79,'Berechnung Nährstoffe und Lager'!$BL73)</f>
        <v>0</v>
      </c>
      <c r="CR73" s="406">
        <f t="shared" si="28"/>
        <v>0</v>
      </c>
      <c r="CS73" s="409">
        <f t="shared" si="29"/>
        <v>0</v>
      </c>
      <c r="CT73" s="409">
        <f t="shared" si="30"/>
        <v>0</v>
      </c>
      <c r="CU73" s="409">
        <f t="shared" si="31"/>
        <v>0</v>
      </c>
      <c r="CV73" s="409">
        <f t="shared" si="32"/>
        <v>0</v>
      </c>
      <c r="CW73" s="409">
        <f t="shared" si="64"/>
        <v>0</v>
      </c>
      <c r="CX73" s="409">
        <f t="shared" si="65"/>
        <v>0</v>
      </c>
      <c r="CY73" s="409">
        <f t="shared" si="66"/>
        <v>0</v>
      </c>
      <c r="CZ73" s="409">
        <f t="shared" si="67"/>
        <v>0</v>
      </c>
      <c r="DA73" s="409">
        <f t="shared" si="68"/>
        <v>0</v>
      </c>
      <c r="DB73" s="409"/>
      <c r="DC73" s="409">
        <f t="shared" si="69"/>
        <v>0</v>
      </c>
      <c r="DD73" s="409">
        <f t="shared" si="70"/>
        <v>0</v>
      </c>
      <c r="DE73" s="409">
        <f t="shared" si="71"/>
        <v>0</v>
      </c>
      <c r="DF73" s="409">
        <f t="shared" si="72"/>
        <v>0</v>
      </c>
      <c r="DG73" s="409">
        <f t="shared" si="73"/>
        <v>0</v>
      </c>
      <c r="DH73" s="409">
        <f t="shared" si="74"/>
        <v>55</v>
      </c>
      <c r="DI73" s="409">
        <f t="shared" si="75"/>
        <v>0</v>
      </c>
      <c r="DJ73" s="532" t="b">
        <v>0</v>
      </c>
      <c r="DK73" s="560">
        <f t="shared" si="76"/>
        <v>0</v>
      </c>
      <c r="DL73" s="1044">
        <f>INDEX(Tiere!AG$30:AG$79,'Berechnung Nährstoffe und Lager'!$BL73)</f>
        <v>0</v>
      </c>
      <c r="DM73" s="570">
        <f>INDEX(Tiere!AH$30:AH$79,'Berechnung Nährstoffe und Lager'!$BL73)</f>
        <v>0</v>
      </c>
      <c r="DN73" s="570">
        <f>INDEX(Tiere!AI$30:AI$79,'Berechnung Nährstoffe und Lager'!$BL73)</f>
        <v>0</v>
      </c>
      <c r="DO73" s="1044">
        <f>INDEX(Tiere!AJ$30:AJ$79,'Berechnung Nährstoffe und Lager'!$BL73)</f>
        <v>0</v>
      </c>
      <c r="DP73" s="570">
        <f>INDEX(Tiere!AK$30:AK$79,'Berechnung Nährstoffe und Lager'!$BL73)</f>
        <v>0</v>
      </c>
      <c r="DQ73" s="570">
        <f>INDEX(Tiere!AL$30:AL$79,'Berechnung Nährstoffe und Lager'!$BL73)</f>
        <v>0</v>
      </c>
      <c r="DR73" s="570">
        <f>INDEX(Tiere!AM$30:AM$79,'Berechnung Nährstoffe und Lager'!$BL73)</f>
        <v>0</v>
      </c>
      <c r="DS73" s="570">
        <f>INDEX(Tiere!AN$30:AN$79,'Berechnung Nährstoffe und Lager'!$BL73)</f>
        <v>0</v>
      </c>
      <c r="DT73" s="566">
        <f t="shared" si="77"/>
        <v>0</v>
      </c>
      <c r="DU73" s="566">
        <f t="shared" si="33"/>
        <v>0</v>
      </c>
      <c r="DV73" s="566">
        <f t="shared" si="34"/>
        <v>0</v>
      </c>
      <c r="DW73" s="566">
        <f t="shared" si="35"/>
        <v>0</v>
      </c>
      <c r="DX73" s="566">
        <f t="shared" si="36"/>
        <v>0</v>
      </c>
      <c r="DY73" s="1268">
        <f t="shared" si="78"/>
        <v>0</v>
      </c>
      <c r="DZ73" s="1063">
        <f t="shared" si="79"/>
        <v>0</v>
      </c>
      <c r="EA73" s="1268">
        <f t="shared" si="80"/>
        <v>0</v>
      </c>
      <c r="EB73" s="1063">
        <f t="shared" si="81"/>
        <v>0</v>
      </c>
      <c r="EC73" s="1063">
        <f t="shared" si="37"/>
        <v>0</v>
      </c>
      <c r="ED73" s="406">
        <f t="shared" si="38"/>
        <v>0</v>
      </c>
      <c r="EE73" s="1063">
        <f t="shared" si="82"/>
        <v>0</v>
      </c>
      <c r="EF73" s="406" t="e">
        <f t="shared" si="39"/>
        <v>#DIV/0!</v>
      </c>
      <c r="EG73" s="406">
        <f t="shared" si="40"/>
        <v>0</v>
      </c>
      <c r="EH73" s="458" t="e">
        <f t="shared" si="90"/>
        <v>#DIV/0!</v>
      </c>
      <c r="EI73" s="458" t="e">
        <f t="shared" si="91"/>
        <v>#DIV/0!</v>
      </c>
      <c r="EJ73" s="458" t="e">
        <f t="shared" si="83"/>
        <v>#DIV/0!</v>
      </c>
      <c r="EK73" s="406">
        <f t="shared" si="84"/>
        <v>0</v>
      </c>
      <c r="EL73" s="406">
        <f t="shared" si="85"/>
        <v>0</v>
      </c>
      <c r="EM73" s="521">
        <f t="shared" si="86"/>
        <v>0</v>
      </c>
      <c r="EN73" s="678">
        <f t="shared" si="87"/>
        <v>0</v>
      </c>
      <c r="EO73" s="678">
        <f t="shared" si="88"/>
        <v>0</v>
      </c>
    </row>
    <row r="74" spans="1:146" ht="18" customHeight="1" x14ac:dyDescent="0.2">
      <c r="A74" s="2033"/>
      <c r="B74" s="2034"/>
      <c r="C74" s="2034"/>
      <c r="D74" s="2034"/>
      <c r="E74" s="443"/>
      <c r="F74" s="450"/>
      <c r="G74" s="350"/>
      <c r="H74" s="663"/>
      <c r="I74" s="1122"/>
      <c r="J74" s="693" t="str">
        <f t="shared" si="41"/>
        <v xml:space="preserve"> </v>
      </c>
      <c r="K74" s="1931" t="str">
        <f t="shared" si="1"/>
        <v xml:space="preserve"> </v>
      </c>
      <c r="L74" s="1932"/>
      <c r="M74" s="1250"/>
      <c r="N74" s="20"/>
      <c r="O74" s="20"/>
      <c r="P74" s="532"/>
      <c r="Q74" s="560" t="str">
        <f t="shared" si="2"/>
        <v xml:space="preserve"> </v>
      </c>
      <c r="R74" s="560" t="str">
        <f t="shared" si="3"/>
        <v xml:space="preserve"> </v>
      </c>
      <c r="S74" s="560">
        <f t="shared" si="42"/>
        <v>0</v>
      </c>
      <c r="T74" s="641">
        <f t="shared" si="43"/>
        <v>0</v>
      </c>
      <c r="U74" s="560">
        <f t="shared" si="4"/>
        <v>0</v>
      </c>
      <c r="V74" s="560">
        <f t="shared" si="5"/>
        <v>0</v>
      </c>
      <c r="W74" s="560">
        <f t="shared" si="6"/>
        <v>0</v>
      </c>
      <c r="X74" s="560">
        <f t="shared" si="7"/>
        <v>0</v>
      </c>
      <c r="Y74" s="560" t="str">
        <f t="shared" si="8"/>
        <v xml:space="preserve"> </v>
      </c>
      <c r="Z74" s="561">
        <f t="shared" si="9"/>
        <v>0</v>
      </c>
      <c r="AA74" s="562">
        <f t="shared" si="10"/>
        <v>0</v>
      </c>
      <c r="AB74" s="641">
        <f t="shared" si="44"/>
        <v>0</v>
      </c>
      <c r="AC74" s="641">
        <f t="shared" si="45"/>
        <v>0</v>
      </c>
      <c r="AD74" s="641">
        <f t="shared" si="46"/>
        <v>0</v>
      </c>
      <c r="AE74" s="641">
        <f t="shared" si="47"/>
        <v>0</v>
      </c>
      <c r="AF74" s="563">
        <f t="shared" si="11"/>
        <v>0</v>
      </c>
      <c r="AG74" s="560">
        <f t="shared" si="12"/>
        <v>0</v>
      </c>
      <c r="AH74" s="560">
        <f t="shared" si="13"/>
        <v>0</v>
      </c>
      <c r="AI74" s="564">
        <f t="shared" si="14"/>
        <v>0</v>
      </c>
      <c r="AJ74" s="565">
        <f>INDEX(Tiere!K$30:K$79,'Berechnung Nährstoffe und Lager'!$BL74)</f>
        <v>0</v>
      </c>
      <c r="AK74" s="565">
        <f>INDEX(Tiere!S$30:S$79,'Berechnung Nährstoffe und Lager'!BL74)</f>
        <v>0</v>
      </c>
      <c r="AL74" s="560">
        <f t="shared" si="48"/>
        <v>0</v>
      </c>
      <c r="AM74" s="560">
        <f t="shared" si="49"/>
        <v>0</v>
      </c>
      <c r="AN74" s="560">
        <f t="shared" si="50"/>
        <v>0</v>
      </c>
      <c r="AO74" s="563">
        <f t="shared" si="15"/>
        <v>0</v>
      </c>
      <c r="AP74" s="560">
        <f t="shared" si="16"/>
        <v>0</v>
      </c>
      <c r="AQ74" s="564">
        <f t="shared" si="17"/>
        <v>0</v>
      </c>
      <c r="AR74" s="565">
        <f>INDEX(Tiere!P$30:P$79,'Berechnung Nährstoffe und Lager'!$BL74)</f>
        <v>0</v>
      </c>
      <c r="AS74" s="566">
        <f t="shared" si="51"/>
        <v>0</v>
      </c>
      <c r="AT74" s="566">
        <f t="shared" si="52"/>
        <v>0</v>
      </c>
      <c r="AU74" s="566">
        <f t="shared" si="53"/>
        <v>0</v>
      </c>
      <c r="AV74" s="563">
        <f t="shared" si="54"/>
        <v>0</v>
      </c>
      <c r="AW74" s="560">
        <f t="shared" si="55"/>
        <v>0</v>
      </c>
      <c r="AX74" s="564">
        <f t="shared" si="56"/>
        <v>0</v>
      </c>
      <c r="AY74" s="560"/>
      <c r="AZ74" s="638">
        <f t="shared" si="18"/>
        <v>0</v>
      </c>
      <c r="BA74" s="639">
        <f t="shared" si="19"/>
        <v>0</v>
      </c>
      <c r="BB74" s="639">
        <f t="shared" si="20"/>
        <v>0</v>
      </c>
      <c r="BC74" s="563">
        <f t="shared" si="21"/>
        <v>0</v>
      </c>
      <c r="BD74" s="560">
        <f t="shared" si="22"/>
        <v>0</v>
      </c>
      <c r="BE74" s="564">
        <f t="shared" si="23"/>
        <v>0</v>
      </c>
      <c r="BF74" s="570">
        <f t="shared" si="57"/>
        <v>0</v>
      </c>
      <c r="BG74" s="567">
        <f t="shared" si="58"/>
        <v>0</v>
      </c>
      <c r="BH74" s="570">
        <f t="shared" si="89"/>
        <v>0</v>
      </c>
      <c r="BI74" s="570">
        <f t="shared" si="59"/>
        <v>0</v>
      </c>
      <c r="BJ74" s="570">
        <f t="shared" si="60"/>
        <v>0</v>
      </c>
      <c r="BK74" s="571">
        <f t="shared" si="61"/>
        <v>1</v>
      </c>
      <c r="BL74" s="572">
        <v>1</v>
      </c>
      <c r="BM74" s="572">
        <v>1</v>
      </c>
      <c r="BN74" s="571">
        <f>INDEX(Tiere!C$30:C$79,'Berechnung Nährstoffe und Lager'!$BL74)</f>
        <v>0</v>
      </c>
      <c r="BO74" s="571" t="str">
        <f t="shared" si="62"/>
        <v>1</v>
      </c>
      <c r="BP74" s="571">
        <f t="shared" si="63"/>
        <v>0</v>
      </c>
      <c r="BQ74" s="570">
        <f>INDEX(Tiere!D$30:D$79,'Berechnung Nährstoffe und Lager'!$BL74)</f>
        <v>0</v>
      </c>
      <c r="BR74" s="566">
        <f>INDEX(Tiere!E$30:E$79,'Berechnung Nährstoffe und Lager'!$BL74)</f>
        <v>0</v>
      </c>
      <c r="BS74" s="567">
        <f>INDEX(Tiere!F$30:F$79,'Berechnung Nährstoffe und Lager'!$BL74)</f>
        <v>0</v>
      </c>
      <c r="BT74" s="566">
        <f>INDEX(Tiere!J$30:J$79,'Berechnung Nährstoffe und Lager'!$BL74)</f>
        <v>0</v>
      </c>
      <c r="BU74" s="566">
        <f>INDEX(Tiere!R$30:R$79,'Berechnung Nährstoffe und Lager'!$BL74)</f>
        <v>0</v>
      </c>
      <c r="BV74" s="570">
        <f>INDEX(Tiere!M$30:M$79,'Berechnung Nährstoffe und Lager'!$BL74)</f>
        <v>0</v>
      </c>
      <c r="BW74" s="566">
        <f>INDEX(Tiere!N$30:N$79,'Berechnung Nährstoffe und Lager'!$BL74)</f>
        <v>0</v>
      </c>
      <c r="BX74" s="567">
        <f>INDEX(Tiere!O$30:O$79,'Berechnung Nährstoffe und Lager'!$BL74)</f>
        <v>0</v>
      </c>
      <c r="BY74" s="570">
        <f>INDEX(Tiere!T$30:T$79,'Berechnung Nährstoffe und Lager'!$BL74)</f>
        <v>0</v>
      </c>
      <c r="BZ74" s="567">
        <f>INDEX(Tiere!U$30:U$79,'Berechnung Nährstoffe und Lager'!$BL74)</f>
        <v>0</v>
      </c>
      <c r="CA74" s="573">
        <f>INDEX(Tiere!V$30:V$79,'Berechnung Nährstoffe und Lager'!$BL74)</f>
        <v>0</v>
      </c>
      <c r="CB74" s="567">
        <f>INDEX(Tiere!W$30:W$79,'Berechnung Nährstoffe und Lager'!$BL74)</f>
        <v>0</v>
      </c>
      <c r="CC74" s="567">
        <f>INDEX(Tiere!X$30:X$79,'Berechnung Nährstoffe und Lager'!$BL74)</f>
        <v>0</v>
      </c>
      <c r="CD74" s="567">
        <f>INDEX(Tiere!Y$30:Y$79,'Berechnung Nährstoffe und Lager'!$BL74)</f>
        <v>0</v>
      </c>
      <c r="CE74" s="532">
        <v>5</v>
      </c>
      <c r="CF74" s="532">
        <v>3</v>
      </c>
      <c r="CG74" s="554">
        <v>17</v>
      </c>
      <c r="CH74" s="560">
        <f>INDEX(Tiere!AB$30:AB$79,'Berechnung Nährstoffe und Lager'!$BL74)</f>
        <v>0</v>
      </c>
      <c r="CI74" s="560">
        <f t="shared" si="24"/>
        <v>0</v>
      </c>
      <c r="CJ74" s="560">
        <f t="shared" si="25"/>
        <v>0</v>
      </c>
      <c r="CK74" s="564">
        <f t="shared" si="26"/>
        <v>0</v>
      </c>
      <c r="CL74" s="532"/>
      <c r="CM74" s="1065" t="b">
        <f t="shared" si="27"/>
        <v>0</v>
      </c>
      <c r="CN74" s="532"/>
      <c r="CO74" s="570">
        <f>INDEX(Tiere!AC$30:AC$79,'Berechnung Nährstoffe und Lager'!$BL74)</f>
        <v>0</v>
      </c>
      <c r="CP74" s="570">
        <f>INDEX(Tiere!AD$30:AD$79,'Berechnung Nährstoffe und Lager'!$BL74)</f>
        <v>0</v>
      </c>
      <c r="CQ74" s="570">
        <f>INDEX(Tiere!AE$30:AE$79,'Berechnung Nährstoffe und Lager'!$BL74)</f>
        <v>0</v>
      </c>
      <c r="CR74" s="406">
        <f t="shared" si="28"/>
        <v>0</v>
      </c>
      <c r="CS74" s="409">
        <f t="shared" si="29"/>
        <v>0</v>
      </c>
      <c r="CT74" s="409">
        <f t="shared" si="30"/>
        <v>0</v>
      </c>
      <c r="CU74" s="409">
        <f t="shared" si="31"/>
        <v>0</v>
      </c>
      <c r="CV74" s="409">
        <f t="shared" si="32"/>
        <v>0</v>
      </c>
      <c r="CW74" s="409">
        <f t="shared" si="64"/>
        <v>0</v>
      </c>
      <c r="CX74" s="409">
        <f t="shared" si="65"/>
        <v>0</v>
      </c>
      <c r="CY74" s="409">
        <f t="shared" si="66"/>
        <v>0</v>
      </c>
      <c r="CZ74" s="409">
        <f t="shared" si="67"/>
        <v>0</v>
      </c>
      <c r="DA74" s="409">
        <f t="shared" si="68"/>
        <v>0</v>
      </c>
      <c r="DB74" s="409"/>
      <c r="DC74" s="409">
        <f t="shared" si="69"/>
        <v>0</v>
      </c>
      <c r="DD74" s="409">
        <f t="shared" si="70"/>
        <v>0</v>
      </c>
      <c r="DE74" s="409">
        <f t="shared" si="71"/>
        <v>0</v>
      </c>
      <c r="DF74" s="409">
        <f t="shared" si="72"/>
        <v>0</v>
      </c>
      <c r="DG74" s="409">
        <f t="shared" si="73"/>
        <v>0</v>
      </c>
      <c r="DH74" s="409">
        <f t="shared" si="74"/>
        <v>55</v>
      </c>
      <c r="DI74" s="409">
        <f t="shared" si="75"/>
        <v>0</v>
      </c>
      <c r="DJ74" s="532" t="b">
        <v>0</v>
      </c>
      <c r="DK74" s="560">
        <f t="shared" si="76"/>
        <v>0</v>
      </c>
      <c r="DL74" s="1044">
        <f>INDEX(Tiere!AG$30:AG$79,'Berechnung Nährstoffe und Lager'!$BL74)</f>
        <v>0</v>
      </c>
      <c r="DM74" s="570">
        <f>INDEX(Tiere!AH$30:AH$79,'Berechnung Nährstoffe und Lager'!$BL74)</f>
        <v>0</v>
      </c>
      <c r="DN74" s="570">
        <f>INDEX(Tiere!AI$30:AI$79,'Berechnung Nährstoffe und Lager'!$BL74)</f>
        <v>0</v>
      </c>
      <c r="DO74" s="1044">
        <f>INDEX(Tiere!AJ$30:AJ$79,'Berechnung Nährstoffe und Lager'!$BL74)</f>
        <v>0</v>
      </c>
      <c r="DP74" s="570">
        <f>INDEX(Tiere!AK$30:AK$79,'Berechnung Nährstoffe und Lager'!$BL74)</f>
        <v>0</v>
      </c>
      <c r="DQ74" s="570">
        <f>INDEX(Tiere!AL$30:AL$79,'Berechnung Nährstoffe und Lager'!$BL74)</f>
        <v>0</v>
      </c>
      <c r="DR74" s="570">
        <f>INDEX(Tiere!AM$30:AM$79,'Berechnung Nährstoffe und Lager'!$BL74)</f>
        <v>0</v>
      </c>
      <c r="DS74" s="570">
        <f>INDEX(Tiere!AN$30:AN$79,'Berechnung Nährstoffe und Lager'!$BL74)</f>
        <v>0</v>
      </c>
      <c r="DT74" s="566">
        <f t="shared" si="77"/>
        <v>0</v>
      </c>
      <c r="DU74" s="566">
        <f t="shared" si="33"/>
        <v>0</v>
      </c>
      <c r="DV74" s="566">
        <f t="shared" si="34"/>
        <v>0</v>
      </c>
      <c r="DW74" s="566">
        <f t="shared" si="35"/>
        <v>0</v>
      </c>
      <c r="DX74" s="566">
        <f t="shared" si="36"/>
        <v>0</v>
      </c>
      <c r="DY74" s="1268">
        <f t="shared" si="78"/>
        <v>0</v>
      </c>
      <c r="DZ74" s="1063">
        <f t="shared" si="79"/>
        <v>0</v>
      </c>
      <c r="EA74" s="1268">
        <f t="shared" si="80"/>
        <v>0</v>
      </c>
      <c r="EB74" s="1063">
        <f t="shared" si="81"/>
        <v>0</v>
      </c>
      <c r="EC74" s="1063">
        <f t="shared" si="37"/>
        <v>0</v>
      </c>
      <c r="ED74" s="406">
        <f t="shared" si="38"/>
        <v>0</v>
      </c>
      <c r="EE74" s="1063">
        <f t="shared" si="82"/>
        <v>0</v>
      </c>
      <c r="EF74" s="406" t="e">
        <f t="shared" si="39"/>
        <v>#DIV/0!</v>
      </c>
      <c r="EG74" s="406">
        <f t="shared" si="40"/>
        <v>0</v>
      </c>
      <c r="EH74" s="458" t="e">
        <f t="shared" si="90"/>
        <v>#DIV/0!</v>
      </c>
      <c r="EI74" s="458" t="e">
        <f t="shared" si="91"/>
        <v>#DIV/0!</v>
      </c>
      <c r="EJ74" s="458" t="e">
        <f t="shared" si="83"/>
        <v>#DIV/0!</v>
      </c>
      <c r="EK74" s="406">
        <f t="shared" si="84"/>
        <v>0</v>
      </c>
      <c r="EL74" s="406">
        <f t="shared" si="85"/>
        <v>0</v>
      </c>
      <c r="EM74" s="521">
        <f t="shared" si="86"/>
        <v>0</v>
      </c>
      <c r="EN74" s="678">
        <f t="shared" si="87"/>
        <v>0</v>
      </c>
      <c r="EO74" s="678">
        <f t="shared" si="88"/>
        <v>0</v>
      </c>
    </row>
    <row r="75" spans="1:146" ht="18" customHeight="1" x14ac:dyDescent="0.2">
      <c r="A75" s="2033"/>
      <c r="B75" s="2034"/>
      <c r="C75" s="2034"/>
      <c r="D75" s="2034"/>
      <c r="E75" s="443"/>
      <c r="F75" s="450"/>
      <c r="G75" s="350"/>
      <c r="H75" s="443"/>
      <c r="I75" s="1122"/>
      <c r="J75" s="693" t="str">
        <f t="shared" si="41"/>
        <v xml:space="preserve"> </v>
      </c>
      <c r="K75" s="1931" t="str">
        <f t="shared" si="1"/>
        <v xml:space="preserve"> </v>
      </c>
      <c r="L75" s="1932"/>
      <c r="M75" s="1251"/>
      <c r="N75" s="20"/>
      <c r="O75" s="20"/>
      <c r="P75" s="532"/>
      <c r="Q75" s="560" t="str">
        <f t="shared" si="2"/>
        <v xml:space="preserve"> </v>
      </c>
      <c r="R75" s="560" t="str">
        <f t="shared" si="3"/>
        <v xml:space="preserve"> </v>
      </c>
      <c r="S75" s="560">
        <f t="shared" si="42"/>
        <v>0</v>
      </c>
      <c r="T75" s="641">
        <f t="shared" si="43"/>
        <v>0</v>
      </c>
      <c r="U75" s="560">
        <f t="shared" si="4"/>
        <v>0</v>
      </c>
      <c r="V75" s="560">
        <f t="shared" si="5"/>
        <v>0</v>
      </c>
      <c r="W75" s="560">
        <f t="shared" si="6"/>
        <v>0</v>
      </c>
      <c r="X75" s="560">
        <f t="shared" si="7"/>
        <v>0</v>
      </c>
      <c r="Y75" s="560" t="str">
        <f t="shared" si="8"/>
        <v xml:space="preserve"> </v>
      </c>
      <c r="Z75" s="561">
        <f t="shared" si="9"/>
        <v>0</v>
      </c>
      <c r="AA75" s="562">
        <f t="shared" si="10"/>
        <v>0</v>
      </c>
      <c r="AB75" s="641">
        <f t="shared" si="44"/>
        <v>0</v>
      </c>
      <c r="AC75" s="641">
        <f t="shared" si="45"/>
        <v>0</v>
      </c>
      <c r="AD75" s="641">
        <f t="shared" si="46"/>
        <v>0</v>
      </c>
      <c r="AE75" s="641">
        <f t="shared" si="47"/>
        <v>0</v>
      </c>
      <c r="AF75" s="563">
        <f t="shared" si="11"/>
        <v>0</v>
      </c>
      <c r="AG75" s="560">
        <f t="shared" si="12"/>
        <v>0</v>
      </c>
      <c r="AH75" s="560">
        <f t="shared" si="13"/>
        <v>0</v>
      </c>
      <c r="AI75" s="564">
        <f t="shared" si="14"/>
        <v>0</v>
      </c>
      <c r="AJ75" s="565">
        <f>INDEX(Tiere!K$30:K$79,'Berechnung Nährstoffe und Lager'!$BL75)</f>
        <v>0</v>
      </c>
      <c r="AK75" s="565">
        <f>INDEX(Tiere!S$30:S$79,'Berechnung Nährstoffe und Lager'!BL75)</f>
        <v>0</v>
      </c>
      <c r="AL75" s="560">
        <f t="shared" si="48"/>
        <v>0</v>
      </c>
      <c r="AM75" s="560">
        <f t="shared" si="49"/>
        <v>0</v>
      </c>
      <c r="AN75" s="560">
        <f t="shared" si="50"/>
        <v>0</v>
      </c>
      <c r="AO75" s="563">
        <f t="shared" si="15"/>
        <v>0</v>
      </c>
      <c r="AP75" s="560">
        <f t="shared" si="16"/>
        <v>0</v>
      </c>
      <c r="AQ75" s="564">
        <f t="shared" si="17"/>
        <v>0</v>
      </c>
      <c r="AR75" s="565">
        <f>INDEX(Tiere!P$30:P$79,'Berechnung Nährstoffe und Lager'!$BL75)</f>
        <v>0</v>
      </c>
      <c r="AS75" s="566">
        <f t="shared" si="51"/>
        <v>0</v>
      </c>
      <c r="AT75" s="566">
        <f t="shared" si="52"/>
        <v>0</v>
      </c>
      <c r="AU75" s="566">
        <f t="shared" si="53"/>
        <v>0</v>
      </c>
      <c r="AV75" s="563">
        <f t="shared" si="54"/>
        <v>0</v>
      </c>
      <c r="AW75" s="560">
        <f t="shared" si="55"/>
        <v>0</v>
      </c>
      <c r="AX75" s="564">
        <f t="shared" si="56"/>
        <v>0</v>
      </c>
      <c r="AY75" s="560"/>
      <c r="AZ75" s="638">
        <f t="shared" si="18"/>
        <v>0</v>
      </c>
      <c r="BA75" s="639">
        <f t="shared" si="19"/>
        <v>0</v>
      </c>
      <c r="BB75" s="639">
        <f t="shared" si="20"/>
        <v>0</v>
      </c>
      <c r="BC75" s="563">
        <f t="shared" si="21"/>
        <v>0</v>
      </c>
      <c r="BD75" s="560">
        <f t="shared" si="22"/>
        <v>0</v>
      </c>
      <c r="BE75" s="564">
        <f t="shared" si="23"/>
        <v>0</v>
      </c>
      <c r="BF75" s="570">
        <f t="shared" si="57"/>
        <v>0</v>
      </c>
      <c r="BG75" s="567">
        <f t="shared" si="58"/>
        <v>0</v>
      </c>
      <c r="BH75" s="570">
        <f t="shared" si="89"/>
        <v>0</v>
      </c>
      <c r="BI75" s="570">
        <f t="shared" si="59"/>
        <v>0</v>
      </c>
      <c r="BJ75" s="570">
        <f t="shared" si="60"/>
        <v>0</v>
      </c>
      <c r="BK75" s="571">
        <f t="shared" si="61"/>
        <v>1</v>
      </c>
      <c r="BL75" s="572">
        <v>1</v>
      </c>
      <c r="BM75" s="572">
        <v>1</v>
      </c>
      <c r="BN75" s="571">
        <f>INDEX(Tiere!C$30:C$79,'Berechnung Nährstoffe und Lager'!$BL75)</f>
        <v>0</v>
      </c>
      <c r="BO75" s="571" t="str">
        <f t="shared" si="62"/>
        <v>1</v>
      </c>
      <c r="BP75" s="571">
        <f t="shared" si="63"/>
        <v>0</v>
      </c>
      <c r="BQ75" s="570">
        <f>INDEX(Tiere!D$30:D$79,'Berechnung Nährstoffe und Lager'!$BL75)</f>
        <v>0</v>
      </c>
      <c r="BR75" s="566">
        <f>INDEX(Tiere!E$30:E$79,'Berechnung Nährstoffe und Lager'!$BL75)</f>
        <v>0</v>
      </c>
      <c r="BS75" s="567">
        <f>INDEX(Tiere!F$30:F$79,'Berechnung Nährstoffe und Lager'!$BL75)</f>
        <v>0</v>
      </c>
      <c r="BT75" s="566">
        <f>INDEX(Tiere!J$30:J$79,'Berechnung Nährstoffe und Lager'!$BL75)</f>
        <v>0</v>
      </c>
      <c r="BU75" s="566">
        <f>INDEX(Tiere!R$30:R$79,'Berechnung Nährstoffe und Lager'!$BL75)</f>
        <v>0</v>
      </c>
      <c r="BV75" s="570">
        <f>INDEX(Tiere!M$30:M$79,'Berechnung Nährstoffe und Lager'!$BL75)</f>
        <v>0</v>
      </c>
      <c r="BW75" s="566">
        <f>INDEX(Tiere!N$30:N$79,'Berechnung Nährstoffe und Lager'!$BL75)</f>
        <v>0</v>
      </c>
      <c r="BX75" s="567">
        <f>INDEX(Tiere!O$30:O$79,'Berechnung Nährstoffe und Lager'!$BL75)</f>
        <v>0</v>
      </c>
      <c r="BY75" s="570">
        <f>INDEX(Tiere!T$30:T$79,'Berechnung Nährstoffe und Lager'!$BL75)</f>
        <v>0</v>
      </c>
      <c r="BZ75" s="567">
        <f>INDEX(Tiere!U$30:U$79,'Berechnung Nährstoffe und Lager'!$BL75)</f>
        <v>0</v>
      </c>
      <c r="CA75" s="573">
        <f>INDEX(Tiere!V$30:V$79,'Berechnung Nährstoffe und Lager'!$BL75)</f>
        <v>0</v>
      </c>
      <c r="CB75" s="567">
        <f>INDEX(Tiere!W$30:W$79,'Berechnung Nährstoffe und Lager'!$BL75)</f>
        <v>0</v>
      </c>
      <c r="CC75" s="567">
        <f>INDEX(Tiere!X$30:X$79,'Berechnung Nährstoffe und Lager'!$BL75)</f>
        <v>0</v>
      </c>
      <c r="CD75" s="567">
        <f>INDEX(Tiere!Y$30:Y$79,'Berechnung Nährstoffe und Lager'!$BL75)</f>
        <v>0</v>
      </c>
      <c r="CE75" s="532">
        <v>5</v>
      </c>
      <c r="CF75" s="532">
        <v>3</v>
      </c>
      <c r="CG75" s="554">
        <v>17</v>
      </c>
      <c r="CH75" s="560">
        <f>INDEX(Tiere!AB$30:AB$79,'Berechnung Nährstoffe und Lager'!$BL75)</f>
        <v>0</v>
      </c>
      <c r="CI75" s="560">
        <f t="shared" si="24"/>
        <v>0</v>
      </c>
      <c r="CJ75" s="560">
        <f t="shared" si="25"/>
        <v>0</v>
      </c>
      <c r="CK75" s="564">
        <f t="shared" si="26"/>
        <v>0</v>
      </c>
      <c r="CL75" s="532"/>
      <c r="CM75" s="1065" t="b">
        <f t="shared" si="27"/>
        <v>0</v>
      </c>
      <c r="CN75" s="532"/>
      <c r="CO75" s="570">
        <f>INDEX(Tiere!AC$30:AC$79,'Berechnung Nährstoffe und Lager'!$BL75)</f>
        <v>0</v>
      </c>
      <c r="CP75" s="570">
        <f>INDEX(Tiere!AD$30:AD$79,'Berechnung Nährstoffe und Lager'!$BL75)</f>
        <v>0</v>
      </c>
      <c r="CQ75" s="570">
        <f>INDEX(Tiere!AE$30:AE$79,'Berechnung Nährstoffe und Lager'!$BL75)</f>
        <v>0</v>
      </c>
      <c r="CR75" s="406">
        <f t="shared" si="28"/>
        <v>0</v>
      </c>
      <c r="CS75" s="409">
        <f t="shared" si="29"/>
        <v>0</v>
      </c>
      <c r="CT75" s="409">
        <f t="shared" si="30"/>
        <v>0</v>
      </c>
      <c r="CU75" s="409">
        <f t="shared" si="31"/>
        <v>0</v>
      </c>
      <c r="CV75" s="409">
        <f t="shared" si="32"/>
        <v>0</v>
      </c>
      <c r="CW75" s="409">
        <f t="shared" si="64"/>
        <v>0</v>
      </c>
      <c r="CX75" s="409">
        <f t="shared" si="65"/>
        <v>0</v>
      </c>
      <c r="CY75" s="409">
        <f t="shared" si="66"/>
        <v>0</v>
      </c>
      <c r="CZ75" s="409">
        <f t="shared" si="67"/>
        <v>0</v>
      </c>
      <c r="DA75" s="409">
        <f t="shared" si="68"/>
        <v>0</v>
      </c>
      <c r="DB75" s="409"/>
      <c r="DC75" s="409">
        <f t="shared" si="69"/>
        <v>0</v>
      </c>
      <c r="DD75" s="409">
        <f t="shared" si="70"/>
        <v>0</v>
      </c>
      <c r="DE75" s="409">
        <f t="shared" si="71"/>
        <v>0</v>
      </c>
      <c r="DF75" s="409">
        <f t="shared" si="72"/>
        <v>0</v>
      </c>
      <c r="DG75" s="409">
        <f t="shared" si="73"/>
        <v>0</v>
      </c>
      <c r="DH75" s="409">
        <f t="shared" si="74"/>
        <v>55</v>
      </c>
      <c r="DI75" s="409">
        <f t="shared" si="75"/>
        <v>0</v>
      </c>
      <c r="DJ75" s="532" t="b">
        <v>0</v>
      </c>
      <c r="DK75" s="560">
        <f t="shared" si="76"/>
        <v>0</v>
      </c>
      <c r="DL75" s="1044">
        <f>INDEX(Tiere!AG$30:AG$79,'Berechnung Nährstoffe und Lager'!$BL75)</f>
        <v>0</v>
      </c>
      <c r="DM75" s="570">
        <f>INDEX(Tiere!AH$30:AH$79,'Berechnung Nährstoffe und Lager'!$BL75)</f>
        <v>0</v>
      </c>
      <c r="DN75" s="570">
        <f>INDEX(Tiere!AI$30:AI$79,'Berechnung Nährstoffe und Lager'!$BL75)</f>
        <v>0</v>
      </c>
      <c r="DO75" s="1044">
        <f>INDEX(Tiere!AJ$30:AJ$79,'Berechnung Nährstoffe und Lager'!$BL75)</f>
        <v>0</v>
      </c>
      <c r="DP75" s="570">
        <f>INDEX(Tiere!AK$30:AK$79,'Berechnung Nährstoffe und Lager'!$BL75)</f>
        <v>0</v>
      </c>
      <c r="DQ75" s="570">
        <f>INDEX(Tiere!AL$30:AL$79,'Berechnung Nährstoffe und Lager'!$BL75)</f>
        <v>0</v>
      </c>
      <c r="DR75" s="570">
        <f>INDEX(Tiere!AM$30:AM$79,'Berechnung Nährstoffe und Lager'!$BL75)</f>
        <v>0</v>
      </c>
      <c r="DS75" s="570">
        <f>INDEX(Tiere!AN$30:AN$79,'Berechnung Nährstoffe und Lager'!$BL75)</f>
        <v>0</v>
      </c>
      <c r="DT75" s="566">
        <f t="shared" si="77"/>
        <v>0</v>
      </c>
      <c r="DU75" s="566">
        <f t="shared" si="33"/>
        <v>0</v>
      </c>
      <c r="DV75" s="566">
        <f t="shared" si="34"/>
        <v>0</v>
      </c>
      <c r="DW75" s="566">
        <f t="shared" si="35"/>
        <v>0</v>
      </c>
      <c r="DX75" s="566">
        <f t="shared" si="36"/>
        <v>0</v>
      </c>
      <c r="DY75" s="1268">
        <f t="shared" si="78"/>
        <v>0</v>
      </c>
      <c r="DZ75" s="1063">
        <f t="shared" si="79"/>
        <v>0</v>
      </c>
      <c r="EA75" s="1268">
        <f t="shared" si="80"/>
        <v>0</v>
      </c>
      <c r="EB75" s="1063">
        <f t="shared" si="81"/>
        <v>0</v>
      </c>
      <c r="EC75" s="1063">
        <f t="shared" si="37"/>
        <v>0</v>
      </c>
      <c r="ED75" s="406">
        <f t="shared" si="38"/>
        <v>0</v>
      </c>
      <c r="EE75" s="1063">
        <f t="shared" si="82"/>
        <v>0</v>
      </c>
      <c r="EF75" s="406" t="e">
        <f t="shared" si="39"/>
        <v>#DIV/0!</v>
      </c>
      <c r="EG75" s="406">
        <f t="shared" si="40"/>
        <v>0</v>
      </c>
      <c r="EH75" s="458" t="e">
        <f t="shared" si="90"/>
        <v>#DIV/0!</v>
      </c>
      <c r="EI75" s="458" t="e">
        <f t="shared" si="91"/>
        <v>#DIV/0!</v>
      </c>
      <c r="EJ75" s="458" t="e">
        <f t="shared" si="83"/>
        <v>#DIV/0!</v>
      </c>
      <c r="EK75" s="406">
        <f t="shared" si="84"/>
        <v>0</v>
      </c>
      <c r="EL75" s="406">
        <f t="shared" si="85"/>
        <v>0</v>
      </c>
      <c r="EM75" s="521">
        <f t="shared" si="86"/>
        <v>0</v>
      </c>
      <c r="EN75" s="678">
        <f t="shared" si="87"/>
        <v>0</v>
      </c>
      <c r="EO75" s="678">
        <f t="shared" si="88"/>
        <v>0</v>
      </c>
    </row>
    <row r="76" spans="1:146" ht="18" customHeight="1" x14ac:dyDescent="0.2">
      <c r="A76" s="2033"/>
      <c r="B76" s="2034"/>
      <c r="C76" s="2034"/>
      <c r="D76" s="2034"/>
      <c r="E76" s="443"/>
      <c r="F76" s="450"/>
      <c r="G76" s="350"/>
      <c r="H76" s="443"/>
      <c r="I76" s="1122"/>
      <c r="J76" s="693" t="str">
        <f t="shared" si="41"/>
        <v xml:space="preserve"> </v>
      </c>
      <c r="K76" s="1931" t="str">
        <f t="shared" si="1"/>
        <v xml:space="preserve"> </v>
      </c>
      <c r="L76" s="1932"/>
      <c r="M76" s="1251"/>
      <c r="N76" s="20"/>
      <c r="O76" s="20"/>
      <c r="P76" s="532"/>
      <c r="Q76" s="560" t="str">
        <f t="shared" si="2"/>
        <v xml:space="preserve"> </v>
      </c>
      <c r="R76" s="560" t="str">
        <f t="shared" si="3"/>
        <v xml:space="preserve"> </v>
      </c>
      <c r="S76" s="560">
        <f t="shared" si="42"/>
        <v>0</v>
      </c>
      <c r="T76" s="641">
        <f t="shared" si="43"/>
        <v>0</v>
      </c>
      <c r="U76" s="560">
        <f t="shared" si="4"/>
        <v>0</v>
      </c>
      <c r="V76" s="560">
        <f t="shared" si="5"/>
        <v>0</v>
      </c>
      <c r="W76" s="560">
        <f t="shared" si="6"/>
        <v>0</v>
      </c>
      <c r="X76" s="560">
        <f t="shared" si="7"/>
        <v>0</v>
      </c>
      <c r="Y76" s="560" t="str">
        <f t="shared" si="8"/>
        <v xml:space="preserve"> </v>
      </c>
      <c r="Z76" s="561">
        <f t="shared" si="9"/>
        <v>0</v>
      </c>
      <c r="AA76" s="562">
        <f t="shared" si="10"/>
        <v>0</v>
      </c>
      <c r="AB76" s="641">
        <f t="shared" si="44"/>
        <v>0</v>
      </c>
      <c r="AC76" s="641">
        <f t="shared" si="45"/>
        <v>0</v>
      </c>
      <c r="AD76" s="641">
        <f t="shared" si="46"/>
        <v>0</v>
      </c>
      <c r="AE76" s="641">
        <f t="shared" si="47"/>
        <v>0</v>
      </c>
      <c r="AF76" s="563">
        <f t="shared" si="11"/>
        <v>0</v>
      </c>
      <c r="AG76" s="560">
        <f t="shared" si="12"/>
        <v>0</v>
      </c>
      <c r="AH76" s="560">
        <f t="shared" si="13"/>
        <v>0</v>
      </c>
      <c r="AI76" s="564">
        <f t="shared" si="14"/>
        <v>0</v>
      </c>
      <c r="AJ76" s="565">
        <f>INDEX(Tiere!K$30:K$79,'Berechnung Nährstoffe und Lager'!$BL76)</f>
        <v>0</v>
      </c>
      <c r="AK76" s="565">
        <f>INDEX(Tiere!S$30:S$79,'Berechnung Nährstoffe und Lager'!BL76)</f>
        <v>0</v>
      </c>
      <c r="AL76" s="560">
        <f t="shared" si="48"/>
        <v>0</v>
      </c>
      <c r="AM76" s="560">
        <f t="shared" si="49"/>
        <v>0</v>
      </c>
      <c r="AN76" s="560">
        <f t="shared" si="50"/>
        <v>0</v>
      </c>
      <c r="AO76" s="563">
        <f t="shared" si="15"/>
        <v>0</v>
      </c>
      <c r="AP76" s="560">
        <f t="shared" si="16"/>
        <v>0</v>
      </c>
      <c r="AQ76" s="564">
        <f t="shared" si="17"/>
        <v>0</v>
      </c>
      <c r="AR76" s="565">
        <f>INDEX(Tiere!P$30:P$79,'Berechnung Nährstoffe und Lager'!$BL76)</f>
        <v>0</v>
      </c>
      <c r="AS76" s="566">
        <f t="shared" si="51"/>
        <v>0</v>
      </c>
      <c r="AT76" s="566">
        <f t="shared" si="52"/>
        <v>0</v>
      </c>
      <c r="AU76" s="566">
        <f t="shared" si="53"/>
        <v>0</v>
      </c>
      <c r="AV76" s="563">
        <f t="shared" si="54"/>
        <v>0</v>
      </c>
      <c r="AW76" s="560">
        <f t="shared" si="55"/>
        <v>0</v>
      </c>
      <c r="AX76" s="564">
        <f t="shared" si="56"/>
        <v>0</v>
      </c>
      <c r="AY76" s="560"/>
      <c r="AZ76" s="638">
        <f t="shared" si="18"/>
        <v>0</v>
      </c>
      <c r="BA76" s="639">
        <f t="shared" si="19"/>
        <v>0</v>
      </c>
      <c r="BB76" s="639">
        <f t="shared" si="20"/>
        <v>0</v>
      </c>
      <c r="BC76" s="563">
        <f t="shared" si="21"/>
        <v>0</v>
      </c>
      <c r="BD76" s="560">
        <f t="shared" si="22"/>
        <v>0</v>
      </c>
      <c r="BE76" s="564">
        <f t="shared" si="23"/>
        <v>0</v>
      </c>
      <c r="BF76" s="570">
        <f t="shared" si="57"/>
        <v>0</v>
      </c>
      <c r="BG76" s="567">
        <f t="shared" si="58"/>
        <v>0</v>
      </c>
      <c r="BH76" s="570">
        <f t="shared" si="89"/>
        <v>0</v>
      </c>
      <c r="BI76" s="570">
        <f t="shared" si="59"/>
        <v>0</v>
      </c>
      <c r="BJ76" s="570">
        <f t="shared" si="60"/>
        <v>0</v>
      </c>
      <c r="BK76" s="571">
        <f t="shared" si="61"/>
        <v>1</v>
      </c>
      <c r="BL76" s="572">
        <v>1</v>
      </c>
      <c r="BM76" s="572">
        <v>1</v>
      </c>
      <c r="BN76" s="571">
        <f>INDEX(Tiere!C$30:C$79,'Berechnung Nährstoffe und Lager'!$BL76)</f>
        <v>0</v>
      </c>
      <c r="BO76" s="571" t="str">
        <f t="shared" si="62"/>
        <v>1</v>
      </c>
      <c r="BP76" s="571">
        <f t="shared" si="63"/>
        <v>0</v>
      </c>
      <c r="BQ76" s="570">
        <f>INDEX(Tiere!D$30:D$79,'Berechnung Nährstoffe und Lager'!$BL76)</f>
        <v>0</v>
      </c>
      <c r="BR76" s="566">
        <f>INDEX(Tiere!E$30:E$79,'Berechnung Nährstoffe und Lager'!$BL76)</f>
        <v>0</v>
      </c>
      <c r="BS76" s="567">
        <f>INDEX(Tiere!F$30:F$79,'Berechnung Nährstoffe und Lager'!$BL76)</f>
        <v>0</v>
      </c>
      <c r="BT76" s="566">
        <f>INDEX(Tiere!J$30:J$79,'Berechnung Nährstoffe und Lager'!$BL76)</f>
        <v>0</v>
      </c>
      <c r="BU76" s="566">
        <f>INDEX(Tiere!R$30:R$79,'Berechnung Nährstoffe und Lager'!$BL76)</f>
        <v>0</v>
      </c>
      <c r="BV76" s="570">
        <f>INDEX(Tiere!M$30:M$79,'Berechnung Nährstoffe und Lager'!$BL76)</f>
        <v>0</v>
      </c>
      <c r="BW76" s="566">
        <f>INDEX(Tiere!N$30:N$79,'Berechnung Nährstoffe und Lager'!$BL76)</f>
        <v>0</v>
      </c>
      <c r="BX76" s="567">
        <f>INDEX(Tiere!O$30:O$79,'Berechnung Nährstoffe und Lager'!$BL76)</f>
        <v>0</v>
      </c>
      <c r="BY76" s="570">
        <f>INDEX(Tiere!T$30:T$79,'Berechnung Nährstoffe und Lager'!$BL76)</f>
        <v>0</v>
      </c>
      <c r="BZ76" s="567">
        <f>INDEX(Tiere!U$30:U$79,'Berechnung Nährstoffe und Lager'!$BL76)</f>
        <v>0</v>
      </c>
      <c r="CA76" s="573">
        <f>INDEX(Tiere!V$30:V$79,'Berechnung Nährstoffe und Lager'!$BL76)</f>
        <v>0</v>
      </c>
      <c r="CB76" s="567">
        <f>INDEX(Tiere!W$30:W$79,'Berechnung Nährstoffe und Lager'!$BL76)</f>
        <v>0</v>
      </c>
      <c r="CC76" s="567">
        <f>INDEX(Tiere!X$30:X$79,'Berechnung Nährstoffe und Lager'!$BL76)</f>
        <v>0</v>
      </c>
      <c r="CD76" s="567">
        <f>INDEX(Tiere!Y$30:Y$79,'Berechnung Nährstoffe und Lager'!$BL76)</f>
        <v>0</v>
      </c>
      <c r="CE76" s="532">
        <v>5</v>
      </c>
      <c r="CF76" s="532">
        <v>3</v>
      </c>
      <c r="CG76" s="554">
        <v>17</v>
      </c>
      <c r="CH76" s="560">
        <f>INDEX(Tiere!AB$30:AB$79,'Berechnung Nährstoffe und Lager'!$BL76)</f>
        <v>0</v>
      </c>
      <c r="CI76" s="560">
        <f t="shared" si="24"/>
        <v>0</v>
      </c>
      <c r="CJ76" s="560">
        <f t="shared" si="25"/>
        <v>0</v>
      </c>
      <c r="CK76" s="564">
        <f t="shared" si="26"/>
        <v>0</v>
      </c>
      <c r="CL76" s="532"/>
      <c r="CM76" s="1065" t="b">
        <f t="shared" si="27"/>
        <v>0</v>
      </c>
      <c r="CN76" s="532"/>
      <c r="CO76" s="570">
        <f>INDEX(Tiere!AC$30:AC$79,'Berechnung Nährstoffe und Lager'!$BL76)</f>
        <v>0</v>
      </c>
      <c r="CP76" s="570">
        <f>INDEX(Tiere!AD$30:AD$79,'Berechnung Nährstoffe und Lager'!$BL76)</f>
        <v>0</v>
      </c>
      <c r="CQ76" s="570">
        <f>INDEX(Tiere!AE$30:AE$79,'Berechnung Nährstoffe und Lager'!$BL76)</f>
        <v>0</v>
      </c>
      <c r="CR76" s="406">
        <f t="shared" si="28"/>
        <v>0</v>
      </c>
      <c r="CS76" s="409">
        <f t="shared" si="29"/>
        <v>0</v>
      </c>
      <c r="CT76" s="409">
        <f t="shared" si="30"/>
        <v>0</v>
      </c>
      <c r="CU76" s="409">
        <f t="shared" si="31"/>
        <v>0</v>
      </c>
      <c r="CV76" s="409">
        <f t="shared" si="32"/>
        <v>0</v>
      </c>
      <c r="CW76" s="409">
        <f t="shared" si="64"/>
        <v>0</v>
      </c>
      <c r="CX76" s="409">
        <f t="shared" si="65"/>
        <v>0</v>
      </c>
      <c r="CY76" s="409">
        <f t="shared" si="66"/>
        <v>0</v>
      </c>
      <c r="CZ76" s="409">
        <f t="shared" si="67"/>
        <v>0</v>
      </c>
      <c r="DA76" s="409">
        <f t="shared" si="68"/>
        <v>0</v>
      </c>
      <c r="DB76" s="409"/>
      <c r="DC76" s="409">
        <f t="shared" si="69"/>
        <v>0</v>
      </c>
      <c r="DD76" s="409">
        <f t="shared" si="70"/>
        <v>0</v>
      </c>
      <c r="DE76" s="409">
        <f t="shared" si="71"/>
        <v>0</v>
      </c>
      <c r="DF76" s="409">
        <f t="shared" si="72"/>
        <v>0</v>
      </c>
      <c r="DG76" s="409">
        <f t="shared" si="73"/>
        <v>0</v>
      </c>
      <c r="DH76" s="409">
        <f t="shared" si="74"/>
        <v>55</v>
      </c>
      <c r="DI76" s="409">
        <f t="shared" si="75"/>
        <v>0</v>
      </c>
      <c r="DJ76" s="532" t="b">
        <v>0</v>
      </c>
      <c r="DK76" s="560">
        <f t="shared" si="76"/>
        <v>0</v>
      </c>
      <c r="DL76" s="1044">
        <f>INDEX(Tiere!AG$30:AG$79,'Berechnung Nährstoffe und Lager'!$BL76)</f>
        <v>0</v>
      </c>
      <c r="DM76" s="570">
        <f>INDEX(Tiere!AH$30:AH$79,'Berechnung Nährstoffe und Lager'!$BL76)</f>
        <v>0</v>
      </c>
      <c r="DN76" s="570">
        <f>INDEX(Tiere!AI$30:AI$79,'Berechnung Nährstoffe und Lager'!$BL76)</f>
        <v>0</v>
      </c>
      <c r="DO76" s="1044">
        <f>INDEX(Tiere!AJ$30:AJ$79,'Berechnung Nährstoffe und Lager'!$BL76)</f>
        <v>0</v>
      </c>
      <c r="DP76" s="570">
        <f>INDEX(Tiere!AK$30:AK$79,'Berechnung Nährstoffe und Lager'!$BL76)</f>
        <v>0</v>
      </c>
      <c r="DQ76" s="570">
        <f>INDEX(Tiere!AL$30:AL$79,'Berechnung Nährstoffe und Lager'!$BL76)</f>
        <v>0</v>
      </c>
      <c r="DR76" s="570">
        <f>INDEX(Tiere!AM$30:AM$79,'Berechnung Nährstoffe und Lager'!$BL76)</f>
        <v>0</v>
      </c>
      <c r="DS76" s="570">
        <f>INDEX(Tiere!AN$30:AN$79,'Berechnung Nährstoffe und Lager'!$BL76)</f>
        <v>0</v>
      </c>
      <c r="DT76" s="566">
        <f t="shared" si="77"/>
        <v>0</v>
      </c>
      <c r="DU76" s="566">
        <f t="shared" si="33"/>
        <v>0</v>
      </c>
      <c r="DV76" s="566">
        <f t="shared" si="34"/>
        <v>0</v>
      </c>
      <c r="DW76" s="566">
        <f t="shared" si="35"/>
        <v>0</v>
      </c>
      <c r="DX76" s="566">
        <f t="shared" si="36"/>
        <v>0</v>
      </c>
      <c r="DY76" s="1268">
        <f t="shared" si="78"/>
        <v>0</v>
      </c>
      <c r="DZ76" s="1063">
        <f t="shared" si="79"/>
        <v>0</v>
      </c>
      <c r="EA76" s="1268">
        <f t="shared" si="80"/>
        <v>0</v>
      </c>
      <c r="EB76" s="1063">
        <f t="shared" si="81"/>
        <v>0</v>
      </c>
      <c r="EC76" s="1063">
        <f t="shared" si="37"/>
        <v>0</v>
      </c>
      <c r="ED76" s="406">
        <f t="shared" si="38"/>
        <v>0</v>
      </c>
      <c r="EE76" s="1063">
        <f t="shared" si="82"/>
        <v>0</v>
      </c>
      <c r="EF76" s="406" t="e">
        <f t="shared" si="39"/>
        <v>#DIV/0!</v>
      </c>
      <c r="EG76" s="406">
        <f t="shared" si="40"/>
        <v>0</v>
      </c>
      <c r="EH76" s="458" t="e">
        <f t="shared" si="90"/>
        <v>#DIV/0!</v>
      </c>
      <c r="EI76" s="458" t="e">
        <f t="shared" si="91"/>
        <v>#DIV/0!</v>
      </c>
      <c r="EJ76" s="458" t="e">
        <f t="shared" si="83"/>
        <v>#DIV/0!</v>
      </c>
      <c r="EK76" s="406">
        <f t="shared" si="84"/>
        <v>0</v>
      </c>
      <c r="EL76" s="406">
        <f t="shared" si="85"/>
        <v>0</v>
      </c>
      <c r="EM76" s="521">
        <f t="shared" si="86"/>
        <v>0</v>
      </c>
      <c r="EN76" s="678">
        <f t="shared" si="87"/>
        <v>0</v>
      </c>
      <c r="EO76" s="678">
        <f t="shared" si="88"/>
        <v>0</v>
      </c>
    </row>
    <row r="77" spans="1:146" ht="18" customHeight="1" x14ac:dyDescent="0.2">
      <c r="A77" s="2033"/>
      <c r="B77" s="2034"/>
      <c r="C77" s="2034"/>
      <c r="D77" s="2034"/>
      <c r="E77" s="443"/>
      <c r="F77" s="450"/>
      <c r="G77" s="350"/>
      <c r="H77" s="443"/>
      <c r="I77" s="1122"/>
      <c r="J77" s="693" t="str">
        <f>IF(U77+W77=0," ",(U77+W77)/2)</f>
        <v xml:space="preserve"> </v>
      </c>
      <c r="K77" s="1931" t="str">
        <f>IF(V77+X77=0," ",(V77+X77)/2)</f>
        <v xml:space="preserve"> </v>
      </c>
      <c r="L77" s="1932"/>
      <c r="M77" s="1251"/>
      <c r="N77" s="20"/>
      <c r="O77" s="20"/>
      <c r="P77" s="532"/>
      <c r="Q77" s="560" t="str">
        <f>IF(K77=" "," ",(K77*(1/CA77)))</f>
        <v xml:space="preserve"> </v>
      </c>
      <c r="R77" s="560" t="str">
        <f>IF(DK77=1,0,Y77)</f>
        <v xml:space="preserve"> </v>
      </c>
      <c r="S77" s="560">
        <f>IF(DK77=1,0,W77)</f>
        <v>0</v>
      </c>
      <c r="T77" s="641">
        <f>IF(DK77=1,0,U77)</f>
        <v>0</v>
      </c>
      <c r="U77" s="560">
        <f>IF(CM77=FALSE,0,IF(Z77+AA77=0,0,IF(AZ77*BT77+BA77*BF77=0,0,AZ77*BT77+BA77*BF77)))</f>
        <v>0</v>
      </c>
      <c r="V77" s="560">
        <f>IF(CM77=FALSE,0,IF(AA77=0,0,IF(BD77+BA77=0,0,IF(BK77=4,BA77*BG77-(E77*(1-H77/100)*BG77)*((1220/1000)/(2*11)),BA77*BG77))))</f>
        <v>0</v>
      </c>
      <c r="W77" s="560">
        <f>IF(CM77=FALSE,0,IF(Z77+AA77=0,0,IF(BC77*BT77+BD77*BF77=0,0,BC77*BT77+BD77*BF77)))</f>
        <v>0</v>
      </c>
      <c r="X77" s="560">
        <f>IF(CM77=FALSE,0,IF(AA77=0,0,IF(BD77+BA77=0,0,IF(BK77=4,BD77*BG77-(E77*(1-I77/100)*BG77)*((1220/1000)/(2*11)),BD77*BG77))))</f>
        <v>0</v>
      </c>
      <c r="Y77" s="560" t="str">
        <f>IF(X77=0," ",(X77*(1/CA77)))</f>
        <v xml:space="preserve"> </v>
      </c>
      <c r="Z77" s="561">
        <f>IF(BT77=0,0,E77)</f>
        <v>0</v>
      </c>
      <c r="AA77" s="562">
        <f>IF(BT77=0,E77+F77,F77)</f>
        <v>0</v>
      </c>
      <c r="AB77" s="641">
        <f>+(AZ77*BQ77*(100-BY77)/100)+(BF77*BH77*BA77)</f>
        <v>0</v>
      </c>
      <c r="AC77" s="641">
        <f>IF(BK77=2,AB77,0)</f>
        <v>0</v>
      </c>
      <c r="AD77" s="641">
        <f>AZ77*BR77+BA77*BF77*BI77</f>
        <v>0</v>
      </c>
      <c r="AE77" s="641">
        <f>AZ77*BS77+BA77*BF77*BJ77</f>
        <v>0</v>
      </c>
      <c r="AF77" s="563">
        <f>+(BC77*BQ77*(100-BY77)/100)+(BF77*BH77*BD77)</f>
        <v>0</v>
      </c>
      <c r="AG77" s="560">
        <f>IF(BK77=2,AF77,0)</f>
        <v>0</v>
      </c>
      <c r="AH77" s="560">
        <f>BC77*BR77+BD77*BF77*BI77</f>
        <v>0</v>
      </c>
      <c r="AI77" s="564">
        <f>BC77*BS77+BD77*BF77*BJ77</f>
        <v>0</v>
      </c>
      <c r="AJ77" s="565">
        <f>INDEX(Tiere!K$30:K$79,'Berechnung Nährstoffe und Lager'!$BL77)</f>
        <v>0</v>
      </c>
      <c r="AK77" s="565">
        <f>INDEX(Tiere!S$30:S$79,'Berechnung Nährstoffe und Lager'!BL77)</f>
        <v>0</v>
      </c>
      <c r="AL77" s="560">
        <f>+(BA77*BQ77*(100-BZ77)/100)-BF77*BA77*BH77</f>
        <v>0</v>
      </c>
      <c r="AM77" s="560">
        <f>BA77*BR77-BA77*BF77*BI77</f>
        <v>0</v>
      </c>
      <c r="AN77" s="560">
        <f>BA77*BS77-BA77*BF77*BJ77</f>
        <v>0</v>
      </c>
      <c r="AO77" s="563">
        <f>+(BD77*BQ77*(100-BZ77)/100)-BF77*BD77*BH77</f>
        <v>0</v>
      </c>
      <c r="AP77" s="560">
        <f>BD77*BR77-BD77*BF77*BI77</f>
        <v>0</v>
      </c>
      <c r="AQ77" s="564">
        <f>BD77*BS77-BD77*BF77*BJ77</f>
        <v>0</v>
      </c>
      <c r="AR77" s="565">
        <f>INDEX(Tiere!P$30:P$79,'Berechnung Nährstoffe und Lager'!$BL77)</f>
        <v>0</v>
      </c>
      <c r="AS77" s="566">
        <f>IF(BM77=1,BB77*CB77*BO77*365/1000*CE77,IF(BM77=2,BB77*CC77*BO77*365/1000*CE77,BB77*CD77*BO77*365/1000*CE77))</f>
        <v>0</v>
      </c>
      <c r="AT77" s="566">
        <f>IF(BM77=1,BB77*CB77*BO77*365/1000*CF77,IF(BM77=2,BB77*CC77*BO77*365/1000*CF77,BB77*CD77*BO77*365/1000*CF77))</f>
        <v>0</v>
      </c>
      <c r="AU77" s="566">
        <f>IF(BM77=1,BB77*CB77*BO77*365/1000*CG77,IF(BM77=2,BB77*CC77*BO77*365/1000*CG77,BB77*CD77*BO77*365/1000*CG77))</f>
        <v>0</v>
      </c>
      <c r="AV77" s="563">
        <f>IF(BM77=1,BE77*CB77*BO77*365/1000*CE77,IF(BM77=2,BE77*CC77*BO77*365/1000*CE77,BE77*CD77*BO77*365/1000*CE77))</f>
        <v>0</v>
      </c>
      <c r="AW77" s="560">
        <f>IF(BM77=1,BE77*CB77*BO77*365/1000*CF77,IF(BM77=2,BE77*CC77*BO77*365/1000*CF77,BE77*CD77*BO77*365/1000*CF77))</f>
        <v>0</v>
      </c>
      <c r="AX77" s="564">
        <f>IF(BM77=1,BE77*CB77*BO77*365/1000*CG77,IF(BM77=2,BE77*CC77*BO77*365/1000*CG77,BE77*CD77*BO77*365/1000*CG77))</f>
        <v>0</v>
      </c>
      <c r="AY77" s="560"/>
      <c r="AZ77" s="638">
        <f>+Z77*(100-$H77)/100</f>
        <v>0</v>
      </c>
      <c r="BA77" s="639">
        <f>+AA77*(100-$H77)/100</f>
        <v>0</v>
      </c>
      <c r="BB77" s="639">
        <f>+F77*(100-$H77)/100</f>
        <v>0</v>
      </c>
      <c r="BC77" s="563">
        <f>+Z77*(100-$I77)/100</f>
        <v>0</v>
      </c>
      <c r="BD77" s="560">
        <f>+AA77*(100-$I77)/100</f>
        <v>0</v>
      </c>
      <c r="BE77" s="564">
        <f>+F77*(100-$I77)/100</f>
        <v>0</v>
      </c>
      <c r="BF77" s="570">
        <f>IF(BM77=1,BU77,IF(BM77=2,BU77/2,0))</f>
        <v>0</v>
      </c>
      <c r="BG77" s="567">
        <f>IF(BM77=1,BV77,IF(BM77=2,BW77,BX77))</f>
        <v>0</v>
      </c>
      <c r="BH77" s="570">
        <f>IF(BK77=2,3.2,IF(BK77=3,3.3,0))</f>
        <v>0</v>
      </c>
      <c r="BI77" s="570">
        <f>IF(BK77=2,0,IF(BK77=3,0,0))</f>
        <v>0</v>
      </c>
      <c r="BJ77" s="570">
        <f>IF(BK77=2,7.9,IF(BK77=3,3.1,0))</f>
        <v>0</v>
      </c>
      <c r="BK77" s="571">
        <f>IF(BL77&lt;2,1,IF(BL77&lt;11,2,IF(BL77&lt;26,3,IF(BL77&lt;40,4,5))))</f>
        <v>1</v>
      </c>
      <c r="BL77" s="572">
        <v>1</v>
      </c>
      <c r="BM77" s="572">
        <v>1</v>
      </c>
      <c r="BN77" s="571">
        <f>INDEX(Tiere!C$30:C$79,'Berechnung Nährstoffe und Lager'!$BL77)</f>
        <v>0</v>
      </c>
      <c r="BO77" s="571" t="str">
        <f>IF(BN77&gt;0.001,BN77,"1")</f>
        <v>1</v>
      </c>
      <c r="BP77" s="571">
        <f>E77*BN77+F77*BN77</f>
        <v>0</v>
      </c>
      <c r="BQ77" s="570">
        <f>INDEX(Tiere!D$30:D$79,'Berechnung Nährstoffe und Lager'!$BL77)</f>
        <v>0</v>
      </c>
      <c r="BR77" s="566">
        <f>INDEX(Tiere!E$30:E$79,'Berechnung Nährstoffe und Lager'!$BL77)</f>
        <v>0</v>
      </c>
      <c r="BS77" s="567">
        <f>INDEX(Tiere!F$30:F$79,'Berechnung Nährstoffe und Lager'!$BL77)</f>
        <v>0</v>
      </c>
      <c r="BT77" s="566">
        <f>INDEX(Tiere!J$30:J$79,'Berechnung Nährstoffe und Lager'!$BL77)</f>
        <v>0</v>
      </c>
      <c r="BU77" s="566">
        <f>INDEX(Tiere!R$30:R$79,'Berechnung Nährstoffe und Lager'!$BL77)</f>
        <v>0</v>
      </c>
      <c r="BV77" s="570">
        <f>INDEX(Tiere!M$30:M$79,'Berechnung Nährstoffe und Lager'!$BL77)</f>
        <v>0</v>
      </c>
      <c r="BW77" s="566">
        <f>INDEX(Tiere!N$30:N$79,'Berechnung Nährstoffe und Lager'!$BL77)</f>
        <v>0</v>
      </c>
      <c r="BX77" s="567">
        <f>INDEX(Tiere!O$30:O$79,'Berechnung Nährstoffe und Lager'!$BL77)</f>
        <v>0</v>
      </c>
      <c r="BY77" s="570">
        <f>INDEX(Tiere!T$30:T$79,'Berechnung Nährstoffe und Lager'!$BL77)</f>
        <v>0</v>
      </c>
      <c r="BZ77" s="567">
        <f>INDEX(Tiere!U$30:U$79,'Berechnung Nährstoffe und Lager'!$BL77)</f>
        <v>0</v>
      </c>
      <c r="CA77" s="573">
        <f>INDEX(Tiere!V$30:V$79,'Berechnung Nährstoffe und Lager'!$BL77)</f>
        <v>0</v>
      </c>
      <c r="CB77" s="567">
        <f>INDEX(Tiere!W$30:W$79,'Berechnung Nährstoffe und Lager'!$BL77)</f>
        <v>0</v>
      </c>
      <c r="CC77" s="567">
        <f>INDEX(Tiere!X$30:X$79,'Berechnung Nährstoffe und Lager'!$BL77)</f>
        <v>0</v>
      </c>
      <c r="CD77" s="567">
        <f>INDEX(Tiere!Y$30:Y$79,'Berechnung Nährstoffe und Lager'!$BL77)</f>
        <v>0</v>
      </c>
      <c r="CE77" s="532">
        <v>5</v>
      </c>
      <c r="CF77" s="532">
        <v>3</v>
      </c>
      <c r="CG77" s="554">
        <v>17</v>
      </c>
      <c r="CH77" s="560">
        <f>INDEX(Tiere!AB$30:AB$79,'Berechnung Nährstoffe und Lager'!$BL77)</f>
        <v>0</v>
      </c>
      <c r="CI77" s="560">
        <f>IF(R77=" ",0,CH77*R77)</f>
        <v>0</v>
      </c>
      <c r="CJ77" s="560">
        <f>(AZ77+BC77)/2*BT77</f>
        <v>0</v>
      </c>
      <c r="CK77" s="564">
        <f>(BA77+BD77)/2*BF77</f>
        <v>0</v>
      </c>
      <c r="CL77" s="532"/>
      <c r="CM77" s="1065" t="b">
        <f>AND(BL77&gt;1)</f>
        <v>0</v>
      </c>
      <c r="CN77" s="532"/>
      <c r="CO77" s="570">
        <f>INDEX(Tiere!AC$30:AC$79,'Berechnung Nährstoffe und Lager'!$BL77)</f>
        <v>0</v>
      </c>
      <c r="CP77" s="570">
        <f>INDEX(Tiere!AD$30:AD$79,'Berechnung Nährstoffe und Lager'!$BL77)</f>
        <v>0</v>
      </c>
      <c r="CQ77" s="570">
        <f>INDEX(Tiere!AE$30:AE$79,'Berechnung Nährstoffe und Lager'!$BL77)</f>
        <v>0</v>
      </c>
      <c r="CR77" s="406">
        <f>+((((AZ77*BQ77*(100-BY77)/100)*(CO77/100))+((BF77*BH77*BA77)*(CP77/100)))+(((BC77*BQ77*(100-BY77)/100)*(CO77/100))+((BF77*BH77*BD77)*(CP77/100))))/2</f>
        <v>0</v>
      </c>
      <c r="CS77" s="409">
        <f>+((AL77+AS77+AO77+AV77)/2)/100*CQ77</f>
        <v>0</v>
      </c>
      <c r="CT77" s="409">
        <f>+($E77+$F77)*($H77+$I77)/2/100*BQ77*(100-BZ77)/100</f>
        <v>0</v>
      </c>
      <c r="CU77" s="409">
        <f>+($E77+$F77)*($H77+$I77)/2/100*BR77</f>
        <v>0</v>
      </c>
      <c r="CV77" s="409">
        <f>+($E77+$F77)*($H77+$I77)/2/100*BS77</f>
        <v>0</v>
      </c>
      <c r="CW77" s="409">
        <f>IF($DJ77=FALSE,(($E77*(100-BY77)/100*(100-($H77+$I77)/2)/100+$F77*(100-BZ77)/100*(100-($H77+$I77)/2)/100)*BQ77+(AS77+AV77)/2),0)</f>
        <v>0</v>
      </c>
      <c r="CX77" s="409">
        <f t="shared" si="65"/>
        <v>0</v>
      </c>
      <c r="CY77" s="409">
        <f t="shared" si="66"/>
        <v>0</v>
      </c>
      <c r="CZ77" s="409">
        <f>IF($DJ77=FALSE,(AF77+AB77)/2,0)</f>
        <v>0</v>
      </c>
      <c r="DA77" s="409">
        <f t="shared" si="68"/>
        <v>0</v>
      </c>
      <c r="DB77" s="409"/>
      <c r="DC77" s="409">
        <f>IF($DJ77=TRUE,(($E77*(100-BY77)/100*(100-($H77+$I77)/2)/100+$F77*(100-BZ77)/100*(100-($H77+$I77)/2)/100)*BQ77+(AS77+AV77)/2),0)</f>
        <v>0</v>
      </c>
      <c r="DD77" s="409">
        <f t="shared" si="70"/>
        <v>0</v>
      </c>
      <c r="DE77" s="409">
        <f t="shared" si="71"/>
        <v>0</v>
      </c>
      <c r="DF77" s="409">
        <f>IF($DJ77=TRUE,(AF77+AB77)/2,0)</f>
        <v>0</v>
      </c>
      <c r="DG77" s="409">
        <f>+DC77-DF77</f>
        <v>0</v>
      </c>
      <c r="DH77" s="409">
        <f>IF(BK77=2,60,IF(BK77=3,70,IF(BK77=4,70,55)))</f>
        <v>55</v>
      </c>
      <c r="DI77" s="409">
        <f>IF(BK77=4,70,IF(DC77=0,0,(DG77*55+DF77*DH77)/DC77))</f>
        <v>0</v>
      </c>
      <c r="DJ77" s="532" t="b">
        <v>0</v>
      </c>
      <c r="DK77" s="560">
        <f>IF(DJ77=TRUE,1,0)</f>
        <v>0</v>
      </c>
      <c r="DL77" s="1044">
        <f>INDEX(Tiere!AG$30:AG$79,'Berechnung Nährstoffe und Lager'!$BL77)</f>
        <v>0</v>
      </c>
      <c r="DM77" s="570">
        <f>INDEX(Tiere!AH$30:AH$79,'Berechnung Nährstoffe und Lager'!$BL77)</f>
        <v>0</v>
      </c>
      <c r="DN77" s="570">
        <f>INDEX(Tiere!AI$30:AI$79,'Berechnung Nährstoffe und Lager'!$BL77)</f>
        <v>0</v>
      </c>
      <c r="DO77" s="1044">
        <f>INDEX(Tiere!AJ$30:AJ$79,'Berechnung Nährstoffe und Lager'!$BL77)</f>
        <v>0</v>
      </c>
      <c r="DP77" s="570">
        <f>INDEX(Tiere!AK$30:AK$79,'Berechnung Nährstoffe und Lager'!$BL77)</f>
        <v>0</v>
      </c>
      <c r="DQ77" s="570">
        <f>INDEX(Tiere!AL$30:AL$79,'Berechnung Nährstoffe und Lager'!$BL77)</f>
        <v>0</v>
      </c>
      <c r="DR77" s="570">
        <f>INDEX(Tiere!AM$30:AM$79,'Berechnung Nährstoffe und Lager'!$BL77)</f>
        <v>0</v>
      </c>
      <c r="DS77" s="570">
        <f>INDEX(Tiere!AN$30:AN$79,'Berechnung Nährstoffe und Lager'!$BL77)</f>
        <v>0</v>
      </c>
      <c r="DT77" s="566">
        <f>IF(DJ77=TRUE,(DV77*DR77+DX77*DS77),0)</f>
        <v>0</v>
      </c>
      <c r="DU77" s="566">
        <f>IF(J77=" ",0,(CJ77*AJ77+CK77*AK77)/(CJ77+CK77))</f>
        <v>0</v>
      </c>
      <c r="DV77" s="566">
        <f>+(U77+W77)/2</f>
        <v>0</v>
      </c>
      <c r="DW77" s="566">
        <f>+AR77</f>
        <v>0</v>
      </c>
      <c r="DX77" s="566">
        <f>+(V77+X77)/2</f>
        <v>0</v>
      </c>
      <c r="DY77" s="1268">
        <f t="shared" si="78"/>
        <v>0</v>
      </c>
      <c r="DZ77" s="1063">
        <f>+DY77*DN77/100</f>
        <v>0</v>
      </c>
      <c r="EA77" s="1268">
        <f t="shared" si="80"/>
        <v>0</v>
      </c>
      <c r="EB77" s="1063">
        <f>+EA77*DQ77/100</f>
        <v>0</v>
      </c>
      <c r="EC77" s="1063">
        <f>+((U77+W77)/2+(V77+X77)/2)*DK77</f>
        <v>0</v>
      </c>
      <c r="ED77" s="406">
        <f>+((U77+W77)/2*DU77/100+((V77+X77)/2)*AR77/100)*DK77</f>
        <v>0</v>
      </c>
      <c r="EE77" s="1063">
        <f>+EC77-ED77</f>
        <v>0</v>
      </c>
      <c r="EF77" s="406" t="e">
        <f>+ED77/EC77</f>
        <v>#DIV/0!</v>
      </c>
      <c r="EG77" s="406">
        <f>+((U77+W77)/2*DU77/100*DL77+((V77+X77)/2)*AR77/100*DO77)*DK77</f>
        <v>0</v>
      </c>
      <c r="EH77" s="458" t="e">
        <f>+((U77+W77)/2*DU77/100*DL77*DM77+((V77+X77)/2)*AR77/100*DO77*DP77)*DK77/EC77</f>
        <v>#DIV/0!</v>
      </c>
      <c r="EI77" s="458" t="e">
        <f>(DV77+DX77)*EH77*((DZ77+EB77)/(DY77+EA77))/22.26*0.01605</f>
        <v>#DIV/0!</v>
      </c>
      <c r="EJ77" s="458" t="e">
        <f t="shared" si="83"/>
        <v>#DIV/0!</v>
      </c>
      <c r="EK77" s="406">
        <f>IF(EC77=0,0,EI77+EJ77)</f>
        <v>0</v>
      </c>
      <c r="EL77" s="406">
        <f>+DM77/887*100</f>
        <v>0</v>
      </c>
      <c r="EM77" s="521">
        <f>15.44*EL77/100</f>
        <v>0</v>
      </c>
      <c r="EN77" s="678">
        <f>+EK77-EO77</f>
        <v>0</v>
      </c>
      <c r="EO77" s="678">
        <f>+EK77*EM77/100</f>
        <v>0</v>
      </c>
    </row>
    <row r="78" spans="1:146" ht="18" customHeight="1" x14ac:dyDescent="0.2">
      <c r="A78" s="2033"/>
      <c r="B78" s="2034"/>
      <c r="C78" s="2034"/>
      <c r="D78" s="2034"/>
      <c r="E78" s="443"/>
      <c r="F78" s="450"/>
      <c r="G78" s="350"/>
      <c r="H78" s="443"/>
      <c r="I78" s="1122"/>
      <c r="J78" s="693" t="str">
        <f>IF(U78+W78=0," ",(U78+W78)/2)</f>
        <v xml:space="preserve"> </v>
      </c>
      <c r="K78" s="1931" t="str">
        <f>IF(V78+X78=0," ",(V78+X78)/2)</f>
        <v xml:space="preserve"> </v>
      </c>
      <c r="L78" s="1932"/>
      <c r="M78" s="1251"/>
      <c r="N78" s="20"/>
      <c r="O78" s="20"/>
      <c r="P78" s="532"/>
      <c r="Q78" s="560" t="str">
        <f>IF(K78=" "," ",(K78*(1/CA78)))</f>
        <v xml:space="preserve"> </v>
      </c>
      <c r="R78" s="560" t="str">
        <f>IF(DK78=1,0,Y78)</f>
        <v xml:space="preserve"> </v>
      </c>
      <c r="S78" s="560">
        <f>IF(DK78=1,0,W78)</f>
        <v>0</v>
      </c>
      <c r="T78" s="641">
        <f>IF(DK78=1,0,U78)</f>
        <v>0</v>
      </c>
      <c r="U78" s="560">
        <f>IF(CM78=FALSE,0,IF(Z78+AA78=0,0,IF(AZ78*BT78+BA78*BF78=0,0,AZ78*BT78+BA78*BF78)))</f>
        <v>0</v>
      </c>
      <c r="V78" s="560">
        <f>IF(CM78=FALSE,0,IF(AA78=0,0,IF(BD78+BA78=0,0,IF(BK78=4,BA78*BG78-(E78*(1-H78/100)*BG78)*((1220/1000)/(2*11)),BA78*BG78))))</f>
        <v>0</v>
      </c>
      <c r="W78" s="560">
        <f>IF(CM78=FALSE,0,IF(Z78+AA78=0,0,IF(BC78*BT78+BD78*BF78=0,0,BC78*BT78+BD78*BF78)))</f>
        <v>0</v>
      </c>
      <c r="X78" s="560">
        <f>IF(CM78=FALSE,0,IF(AA78=0,0,IF(BD78+BA78=0,0,IF(BK78=4,BD78*BG78-(E78*(1-I78/100)*BG78)*((1220/1000)/(2*11)),BD78*BG78))))</f>
        <v>0</v>
      </c>
      <c r="Y78" s="560" t="str">
        <f>IF(X78=0," ",(X78*(1/CA78)))</f>
        <v xml:space="preserve"> </v>
      </c>
      <c r="Z78" s="561">
        <f>IF(BT78=0,0,E78)</f>
        <v>0</v>
      </c>
      <c r="AA78" s="562">
        <f>IF(BT78=0,E78+F78,F78)</f>
        <v>0</v>
      </c>
      <c r="AB78" s="641">
        <f>+(AZ78*BQ78*(100-BY78)/100)+(BF78*BH78*BA78)</f>
        <v>0</v>
      </c>
      <c r="AC78" s="641">
        <f>IF(BK78=2,AB78,0)</f>
        <v>0</v>
      </c>
      <c r="AD78" s="641">
        <f>AZ78*BR78+BA78*BF78*BI78</f>
        <v>0</v>
      </c>
      <c r="AE78" s="641">
        <f>AZ78*BS78+BA78*BF78*BJ78</f>
        <v>0</v>
      </c>
      <c r="AF78" s="563">
        <f>+(BC78*BQ78*(100-BY78)/100)+(BF78*BH78*BD78)</f>
        <v>0</v>
      </c>
      <c r="AG78" s="560">
        <f>IF(BK78=2,AF78,0)</f>
        <v>0</v>
      </c>
      <c r="AH78" s="560">
        <f>BC78*BR78+BD78*BF78*BI78</f>
        <v>0</v>
      </c>
      <c r="AI78" s="564">
        <f>BC78*BS78+BD78*BF78*BJ78</f>
        <v>0</v>
      </c>
      <c r="AJ78" s="565">
        <f>INDEX(Tiere!K$30:K$79,'Berechnung Nährstoffe und Lager'!$BL78)</f>
        <v>0</v>
      </c>
      <c r="AK78" s="565">
        <f>INDEX(Tiere!S$30:S$79,'Berechnung Nährstoffe und Lager'!BL78)</f>
        <v>0</v>
      </c>
      <c r="AL78" s="560">
        <f>+(BA78*BQ78*(100-BZ78)/100)-BF78*BA78*BH78</f>
        <v>0</v>
      </c>
      <c r="AM78" s="560">
        <f>BA78*BR78-BA78*BF78*BI78</f>
        <v>0</v>
      </c>
      <c r="AN78" s="560">
        <f>BA78*BS78-BA78*BF78*BJ78</f>
        <v>0</v>
      </c>
      <c r="AO78" s="563">
        <f>+(BD78*BQ78*(100-BZ78)/100)-BF78*BD78*BH78</f>
        <v>0</v>
      </c>
      <c r="AP78" s="560">
        <f>BD78*BR78-BD78*BF78*BI78</f>
        <v>0</v>
      </c>
      <c r="AQ78" s="564">
        <f>BD78*BS78-BD78*BF78*BJ78</f>
        <v>0</v>
      </c>
      <c r="AR78" s="565">
        <f>INDEX(Tiere!P$30:P$79,'Berechnung Nährstoffe und Lager'!$BL78)</f>
        <v>0</v>
      </c>
      <c r="AS78" s="566">
        <f>IF(BM78=1,BB78*CB78*BO78*365/1000*CE78,IF(BM78=2,BB78*CC78*BO78*365/1000*CE78,BB78*CD78*BO78*365/1000*CE78))</f>
        <v>0</v>
      </c>
      <c r="AT78" s="566">
        <f>IF(BM78=1,BB78*CB78*BO78*365/1000*CF78,IF(BM78=2,BB78*CC78*BO78*365/1000*CF78,BB78*CD78*BO78*365/1000*CF78))</f>
        <v>0</v>
      </c>
      <c r="AU78" s="566">
        <f>IF(BM78=1,BB78*CB78*BO78*365/1000*CG78,IF(BM78=2,BB78*CC78*BO78*365/1000*CG78,BB78*CD78*BO78*365/1000*CG78))</f>
        <v>0</v>
      </c>
      <c r="AV78" s="563">
        <f>IF(BM78=1,BE78*CB78*BO78*365/1000*CE78,IF(BM78=2,BE78*CC78*BO78*365/1000*CE78,BE78*CD78*BO78*365/1000*CE78))</f>
        <v>0</v>
      </c>
      <c r="AW78" s="560">
        <f>IF(BM78=1,BE78*CB78*BO78*365/1000*CF78,IF(BM78=2,BE78*CC78*BO78*365/1000*CF78,BE78*CD78*BO78*365/1000*CF78))</f>
        <v>0</v>
      </c>
      <c r="AX78" s="564">
        <f>IF(BM78=1,BE78*CB78*BO78*365/1000*CG78,IF(BM78=2,BE78*CC78*BO78*365/1000*CG78,BE78*CD78*BO78*365/1000*CG78))</f>
        <v>0</v>
      </c>
      <c r="AY78" s="560"/>
      <c r="AZ78" s="638">
        <f>+Z78*(100-$H78)/100</f>
        <v>0</v>
      </c>
      <c r="BA78" s="639">
        <f>+AA78*(100-$H78)/100</f>
        <v>0</v>
      </c>
      <c r="BB78" s="639">
        <f>+F78*(100-$H78)/100</f>
        <v>0</v>
      </c>
      <c r="BC78" s="563">
        <f>+Z78*(100-$I78)/100</f>
        <v>0</v>
      </c>
      <c r="BD78" s="560">
        <f>+AA78*(100-$I78)/100</f>
        <v>0</v>
      </c>
      <c r="BE78" s="564">
        <f>+F78*(100-$I78)/100</f>
        <v>0</v>
      </c>
      <c r="BF78" s="570">
        <f>IF(BM78=1,BU78,IF(BM78=2,BU78/2,0))</f>
        <v>0</v>
      </c>
      <c r="BG78" s="567">
        <f>IF(BM78=1,BV78,IF(BM78=2,BW78,BX78))</f>
        <v>0</v>
      </c>
      <c r="BH78" s="570">
        <f>IF(BK78=2,3.2,IF(BK78=3,3.3,0))</f>
        <v>0</v>
      </c>
      <c r="BI78" s="570">
        <f>IF(BK78=2,0,IF(BK78=3,0,0))</f>
        <v>0</v>
      </c>
      <c r="BJ78" s="570">
        <f>IF(BK78=2,7.9,IF(BK78=3,3.1,0))</f>
        <v>0</v>
      </c>
      <c r="BK78" s="571">
        <f>IF(BL78&lt;2,1,IF(BL78&lt;11,2,IF(BL78&lt;26,3,IF(BL78&lt;40,4,5))))</f>
        <v>1</v>
      </c>
      <c r="BL78" s="572">
        <v>1</v>
      </c>
      <c r="BM78" s="572">
        <v>1</v>
      </c>
      <c r="BN78" s="571">
        <f>INDEX(Tiere!C$30:C$79,'Berechnung Nährstoffe und Lager'!$BL78)</f>
        <v>0</v>
      </c>
      <c r="BO78" s="571" t="str">
        <f>IF(BN78&gt;0.001,BN78,"1")</f>
        <v>1</v>
      </c>
      <c r="BP78" s="571">
        <f>E78*BN78+F78*BN78</f>
        <v>0</v>
      </c>
      <c r="BQ78" s="570">
        <f>INDEX(Tiere!D$30:D$79,'Berechnung Nährstoffe und Lager'!$BL78)</f>
        <v>0</v>
      </c>
      <c r="BR78" s="566">
        <f>INDEX(Tiere!E$30:E$79,'Berechnung Nährstoffe und Lager'!$BL78)</f>
        <v>0</v>
      </c>
      <c r="BS78" s="567">
        <f>INDEX(Tiere!F$30:F$79,'Berechnung Nährstoffe und Lager'!$BL78)</f>
        <v>0</v>
      </c>
      <c r="BT78" s="566">
        <f>INDEX(Tiere!J$30:J$79,'Berechnung Nährstoffe und Lager'!$BL78)</f>
        <v>0</v>
      </c>
      <c r="BU78" s="566">
        <f>INDEX(Tiere!R$30:R$79,'Berechnung Nährstoffe und Lager'!$BL78)</f>
        <v>0</v>
      </c>
      <c r="BV78" s="570">
        <f>INDEX(Tiere!M$30:M$79,'Berechnung Nährstoffe und Lager'!$BL78)</f>
        <v>0</v>
      </c>
      <c r="BW78" s="566">
        <f>INDEX(Tiere!N$30:N$79,'Berechnung Nährstoffe und Lager'!$BL78)</f>
        <v>0</v>
      </c>
      <c r="BX78" s="567">
        <f>INDEX(Tiere!O$30:O$79,'Berechnung Nährstoffe und Lager'!$BL78)</f>
        <v>0</v>
      </c>
      <c r="BY78" s="570">
        <f>INDEX(Tiere!T$30:T$79,'Berechnung Nährstoffe und Lager'!$BL78)</f>
        <v>0</v>
      </c>
      <c r="BZ78" s="567">
        <f>INDEX(Tiere!U$30:U$79,'Berechnung Nährstoffe und Lager'!$BL78)</f>
        <v>0</v>
      </c>
      <c r="CA78" s="573">
        <f>INDEX(Tiere!V$30:V$79,'Berechnung Nährstoffe und Lager'!$BL78)</f>
        <v>0</v>
      </c>
      <c r="CB78" s="567">
        <f>INDEX(Tiere!W$30:W$79,'Berechnung Nährstoffe und Lager'!$BL78)</f>
        <v>0</v>
      </c>
      <c r="CC78" s="567">
        <f>INDEX(Tiere!X$30:X$79,'Berechnung Nährstoffe und Lager'!$BL78)</f>
        <v>0</v>
      </c>
      <c r="CD78" s="567">
        <f>INDEX(Tiere!Y$30:Y$79,'Berechnung Nährstoffe und Lager'!$BL78)</f>
        <v>0</v>
      </c>
      <c r="CE78" s="532">
        <v>5</v>
      </c>
      <c r="CF78" s="532">
        <v>3</v>
      </c>
      <c r="CG78" s="554">
        <v>17</v>
      </c>
      <c r="CH78" s="560">
        <f>INDEX(Tiere!AB$30:AB$79,'Berechnung Nährstoffe und Lager'!$BL78)</f>
        <v>0</v>
      </c>
      <c r="CI78" s="560">
        <f>IF(R78=" ",0,CH78*R78)</f>
        <v>0</v>
      </c>
      <c r="CJ78" s="560">
        <f>(AZ78+BC78)/2*BT78</f>
        <v>0</v>
      </c>
      <c r="CK78" s="564">
        <f>(BA78+BD78)/2*BF78</f>
        <v>0</v>
      </c>
      <c r="CL78" s="532"/>
      <c r="CM78" s="1065" t="b">
        <f>AND(BL78&gt;1)</f>
        <v>0</v>
      </c>
      <c r="CN78" s="532"/>
      <c r="CO78" s="570">
        <f>INDEX(Tiere!AC$30:AC$79,'Berechnung Nährstoffe und Lager'!$BL78)</f>
        <v>0</v>
      </c>
      <c r="CP78" s="570">
        <f>INDEX(Tiere!AD$30:AD$79,'Berechnung Nährstoffe und Lager'!$BL78)</f>
        <v>0</v>
      </c>
      <c r="CQ78" s="570">
        <f>INDEX(Tiere!AE$30:AE$79,'Berechnung Nährstoffe und Lager'!$BL78)</f>
        <v>0</v>
      </c>
      <c r="CR78" s="406">
        <f>+((((AZ78*BQ78*(100-BY78)/100)*(CO78/100))+((BF78*BH78*BA78)*(CP78/100)))+(((BC78*BQ78*(100-BY78)/100)*(CO78/100))+((BF78*BH78*BD78)*(CP78/100))))/2</f>
        <v>0</v>
      </c>
      <c r="CS78" s="409">
        <f>+((AL78+AS78+AO78+AV78)/2)/100*CQ78</f>
        <v>0</v>
      </c>
      <c r="CT78" s="409">
        <f>+($E78+$F78)*($H78+$I78)/2/100*BQ78*(100-BZ78)/100</f>
        <v>0</v>
      </c>
      <c r="CU78" s="409">
        <f>+($E78+$F78)*($H78+$I78)/2/100*BR78</f>
        <v>0</v>
      </c>
      <c r="CV78" s="409">
        <f>+($E78+$F78)*($H78+$I78)/2/100*BS78</f>
        <v>0</v>
      </c>
      <c r="CW78" s="409">
        <f>IF($DJ78=FALSE,(($E78*(100-BY78)/100*(100-($H78+$I78)/2)/100+$F78*(100-BZ78)/100*(100-($H78+$I78)/2)/100)*BQ78+(AS78+AV78)/2),0)</f>
        <v>0</v>
      </c>
      <c r="CX78" s="409">
        <f t="shared" si="65"/>
        <v>0</v>
      </c>
      <c r="CY78" s="409">
        <f t="shared" si="66"/>
        <v>0</v>
      </c>
      <c r="CZ78" s="409">
        <f>IF($DJ78=FALSE,(AF78+AB78)/2,0)</f>
        <v>0</v>
      </c>
      <c r="DA78" s="409">
        <f t="shared" si="68"/>
        <v>0</v>
      </c>
      <c r="DB78" s="409"/>
      <c r="DC78" s="409">
        <f>IF($DJ78=TRUE,(($E78*(100-BY78)/100*(100-($H78+$I78)/2)/100+$F78*(100-BZ78)/100*(100-($H78+$I78)/2)/100)*BQ78+(AS78+AV78)/2),0)</f>
        <v>0</v>
      </c>
      <c r="DD78" s="409">
        <f t="shared" si="70"/>
        <v>0</v>
      </c>
      <c r="DE78" s="409">
        <f t="shared" si="71"/>
        <v>0</v>
      </c>
      <c r="DF78" s="409">
        <f>IF($DJ78=TRUE,(AF78+AB78)/2,0)</f>
        <v>0</v>
      </c>
      <c r="DG78" s="409">
        <f>+DC78-DF78</f>
        <v>0</v>
      </c>
      <c r="DH78" s="409">
        <f>IF(BK78=2,60,IF(BK78=3,70,IF(BK78=4,70,55)))</f>
        <v>55</v>
      </c>
      <c r="DI78" s="409">
        <f>IF(BK78=4,70,IF(DC78=0,0,(DG78*55+DF78*DH78)/DC78))</f>
        <v>0</v>
      </c>
      <c r="DJ78" s="532" t="b">
        <v>0</v>
      </c>
      <c r="DK78" s="560">
        <f>IF(DJ78=TRUE,1,0)</f>
        <v>0</v>
      </c>
      <c r="DL78" s="1044">
        <f>INDEX(Tiere!AG$30:AG$79,'Berechnung Nährstoffe und Lager'!$BL78)</f>
        <v>0</v>
      </c>
      <c r="DM78" s="570">
        <f>INDEX(Tiere!AH$30:AH$79,'Berechnung Nährstoffe und Lager'!$BL78)</f>
        <v>0</v>
      </c>
      <c r="DN78" s="570">
        <f>INDEX(Tiere!AI$30:AI$79,'Berechnung Nährstoffe und Lager'!$BL78)</f>
        <v>0</v>
      </c>
      <c r="DO78" s="1044">
        <f>INDEX(Tiere!AJ$30:AJ$79,'Berechnung Nährstoffe und Lager'!$BL78)</f>
        <v>0</v>
      </c>
      <c r="DP78" s="570">
        <f>INDEX(Tiere!AK$30:AK$79,'Berechnung Nährstoffe und Lager'!$BL78)</f>
        <v>0</v>
      </c>
      <c r="DQ78" s="570">
        <f>INDEX(Tiere!AL$30:AL$79,'Berechnung Nährstoffe und Lager'!$BL78)</f>
        <v>0</v>
      </c>
      <c r="DR78" s="570">
        <f>INDEX(Tiere!AM$30:AM$79,'Berechnung Nährstoffe und Lager'!$BL78)</f>
        <v>0</v>
      </c>
      <c r="DS78" s="570">
        <f>INDEX(Tiere!AN$30:AN$79,'Berechnung Nährstoffe und Lager'!$BL78)</f>
        <v>0</v>
      </c>
      <c r="DT78" s="566">
        <f>IF(DJ78=TRUE,(DV78*DR78+DX78*DS78),0)</f>
        <v>0</v>
      </c>
      <c r="DU78" s="566">
        <f>IF(J78=" ",0,(CJ78*AJ78+CK78*AK78)/(CJ78+CK78))</f>
        <v>0</v>
      </c>
      <c r="DV78" s="566">
        <f>+(U78+W78)/2</f>
        <v>0</v>
      </c>
      <c r="DW78" s="566">
        <f>+AR78</f>
        <v>0</v>
      </c>
      <c r="DX78" s="566">
        <f>+(V78+X78)/2</f>
        <v>0</v>
      </c>
      <c r="DY78" s="1268">
        <f t="shared" si="78"/>
        <v>0</v>
      </c>
      <c r="DZ78" s="1063">
        <f>+DY78*DN78/100</f>
        <v>0</v>
      </c>
      <c r="EA78" s="1268">
        <f t="shared" si="80"/>
        <v>0</v>
      </c>
      <c r="EB78" s="1063">
        <f>+EA78*DQ78/100</f>
        <v>0</v>
      </c>
      <c r="EC78" s="1063">
        <f>+((U78+W78)/2+(V78+X78)/2)*DK78</f>
        <v>0</v>
      </c>
      <c r="ED78" s="406">
        <f>+((U78+W78)/2*DU78/100+((V78+X78)/2)*AR78/100)*DK78</f>
        <v>0</v>
      </c>
      <c r="EE78" s="1063">
        <f>+EC78-ED78</f>
        <v>0</v>
      </c>
      <c r="EF78" s="406" t="e">
        <f>+ED78/EC78</f>
        <v>#DIV/0!</v>
      </c>
      <c r="EG78" s="406">
        <f>+((U78+W78)/2*DU78/100*DL78+((V78+X78)/2)*AR78/100*DO78)*DK78</f>
        <v>0</v>
      </c>
      <c r="EH78" s="458" t="e">
        <f>+((U78+W78)/2*DU78/100*DL78*DM78+((V78+X78)/2)*AR78/100*DO78*DP78)*DK78/EC78</f>
        <v>#DIV/0!</v>
      </c>
      <c r="EI78" s="458" t="e">
        <f>(DV78+DX78)*EH78*((DZ78+EB78)/(DY78+EA78))/22.26*0.01605</f>
        <v>#DIV/0!</v>
      </c>
      <c r="EJ78" s="458" t="e">
        <f t="shared" si="83"/>
        <v>#DIV/0!</v>
      </c>
      <c r="EK78" s="406">
        <f>IF(EC78=0,0,EI78+EJ78)</f>
        <v>0</v>
      </c>
      <c r="EL78" s="406">
        <f>+DM78/887*100</f>
        <v>0</v>
      </c>
      <c r="EM78" s="521">
        <f>15.44*EL78/100</f>
        <v>0</v>
      </c>
      <c r="EN78" s="678">
        <f>+EK78-EO78</f>
        <v>0</v>
      </c>
      <c r="EO78" s="678">
        <f>+EK78*EM78/100</f>
        <v>0</v>
      </c>
    </row>
    <row r="79" spans="1:146" ht="18" customHeight="1" x14ac:dyDescent="0.2">
      <c r="A79" s="2033"/>
      <c r="B79" s="2034"/>
      <c r="C79" s="2034"/>
      <c r="D79" s="2034"/>
      <c r="E79" s="443"/>
      <c r="F79" s="450"/>
      <c r="G79" s="350"/>
      <c r="H79" s="443"/>
      <c r="I79" s="1122"/>
      <c r="J79" s="693" t="str">
        <f t="shared" si="41"/>
        <v xml:space="preserve"> </v>
      </c>
      <c r="K79" s="1931" t="str">
        <f t="shared" si="1"/>
        <v xml:space="preserve"> </v>
      </c>
      <c r="L79" s="1932"/>
      <c r="M79" s="1250"/>
      <c r="N79" s="20"/>
      <c r="O79" s="20"/>
      <c r="P79" s="532"/>
      <c r="Q79" s="560" t="str">
        <f t="shared" si="2"/>
        <v xml:space="preserve"> </v>
      </c>
      <c r="R79" s="560" t="str">
        <f t="shared" si="3"/>
        <v xml:space="preserve"> </v>
      </c>
      <c r="S79" s="560">
        <f t="shared" si="42"/>
        <v>0</v>
      </c>
      <c r="T79" s="641">
        <f t="shared" si="43"/>
        <v>0</v>
      </c>
      <c r="U79" s="560">
        <f t="shared" si="4"/>
        <v>0</v>
      </c>
      <c r="V79" s="560">
        <f t="shared" si="5"/>
        <v>0</v>
      </c>
      <c r="W79" s="560">
        <f t="shared" si="6"/>
        <v>0</v>
      </c>
      <c r="X79" s="560">
        <f t="shared" si="7"/>
        <v>0</v>
      </c>
      <c r="Y79" s="560" t="str">
        <f t="shared" si="8"/>
        <v xml:space="preserve"> </v>
      </c>
      <c r="Z79" s="561">
        <f t="shared" si="9"/>
        <v>0</v>
      </c>
      <c r="AA79" s="562">
        <f t="shared" si="10"/>
        <v>0</v>
      </c>
      <c r="AB79" s="641">
        <f t="shared" si="44"/>
        <v>0</v>
      </c>
      <c r="AC79" s="641">
        <f t="shared" si="45"/>
        <v>0</v>
      </c>
      <c r="AD79" s="641">
        <f t="shared" si="46"/>
        <v>0</v>
      </c>
      <c r="AE79" s="641">
        <f t="shared" si="47"/>
        <v>0</v>
      </c>
      <c r="AF79" s="563">
        <f t="shared" si="11"/>
        <v>0</v>
      </c>
      <c r="AG79" s="560">
        <f t="shared" si="12"/>
        <v>0</v>
      </c>
      <c r="AH79" s="560">
        <f t="shared" si="13"/>
        <v>0</v>
      </c>
      <c r="AI79" s="564">
        <f t="shared" si="14"/>
        <v>0</v>
      </c>
      <c r="AJ79" s="565">
        <f>INDEX(Tiere!K$30:K$79,'Berechnung Nährstoffe und Lager'!$BL79)</f>
        <v>0</v>
      </c>
      <c r="AK79" s="565">
        <f>INDEX(Tiere!S$30:S$79,'Berechnung Nährstoffe und Lager'!BL79)</f>
        <v>0</v>
      </c>
      <c r="AL79" s="560">
        <f t="shared" si="48"/>
        <v>0</v>
      </c>
      <c r="AM79" s="560">
        <f t="shared" si="49"/>
        <v>0</v>
      </c>
      <c r="AN79" s="560">
        <f t="shared" si="50"/>
        <v>0</v>
      </c>
      <c r="AO79" s="563">
        <f t="shared" si="15"/>
        <v>0</v>
      </c>
      <c r="AP79" s="560">
        <f t="shared" si="16"/>
        <v>0</v>
      </c>
      <c r="AQ79" s="564">
        <f t="shared" si="17"/>
        <v>0</v>
      </c>
      <c r="AR79" s="565">
        <f>INDEX(Tiere!P$30:P$79,'Berechnung Nährstoffe und Lager'!$BL79)</f>
        <v>0</v>
      </c>
      <c r="AS79" s="566">
        <f t="shared" si="51"/>
        <v>0</v>
      </c>
      <c r="AT79" s="566">
        <f t="shared" si="52"/>
        <v>0</v>
      </c>
      <c r="AU79" s="566">
        <f t="shared" si="53"/>
        <v>0</v>
      </c>
      <c r="AV79" s="563">
        <f t="shared" si="54"/>
        <v>0</v>
      </c>
      <c r="AW79" s="560">
        <f t="shared" si="55"/>
        <v>0</v>
      </c>
      <c r="AX79" s="564">
        <f t="shared" si="56"/>
        <v>0</v>
      </c>
      <c r="AY79" s="560"/>
      <c r="AZ79" s="638">
        <f t="shared" si="18"/>
        <v>0</v>
      </c>
      <c r="BA79" s="639">
        <f t="shared" si="19"/>
        <v>0</v>
      </c>
      <c r="BB79" s="639">
        <f t="shared" si="20"/>
        <v>0</v>
      </c>
      <c r="BC79" s="563">
        <f t="shared" si="21"/>
        <v>0</v>
      </c>
      <c r="BD79" s="560">
        <f t="shared" si="22"/>
        <v>0</v>
      </c>
      <c r="BE79" s="564">
        <f t="shared" si="23"/>
        <v>0</v>
      </c>
      <c r="BF79" s="570">
        <f t="shared" si="57"/>
        <v>0</v>
      </c>
      <c r="BG79" s="567">
        <f t="shared" si="58"/>
        <v>0</v>
      </c>
      <c r="BH79" s="570">
        <f t="shared" si="89"/>
        <v>0</v>
      </c>
      <c r="BI79" s="570">
        <f t="shared" si="59"/>
        <v>0</v>
      </c>
      <c r="BJ79" s="570">
        <f t="shared" si="60"/>
        <v>0</v>
      </c>
      <c r="BK79" s="571">
        <f t="shared" si="61"/>
        <v>1</v>
      </c>
      <c r="BL79" s="572">
        <v>1</v>
      </c>
      <c r="BM79" s="572">
        <v>1</v>
      </c>
      <c r="BN79" s="571">
        <f>INDEX(Tiere!C$30:C$79,'Berechnung Nährstoffe und Lager'!$BL79)</f>
        <v>0</v>
      </c>
      <c r="BO79" s="571" t="str">
        <f t="shared" si="62"/>
        <v>1</v>
      </c>
      <c r="BP79" s="571">
        <f t="shared" si="63"/>
        <v>0</v>
      </c>
      <c r="BQ79" s="570">
        <f>INDEX(Tiere!D$30:D$79,'Berechnung Nährstoffe und Lager'!$BL79)</f>
        <v>0</v>
      </c>
      <c r="BR79" s="566">
        <f>INDEX(Tiere!E$30:E$79,'Berechnung Nährstoffe und Lager'!$BL79)</f>
        <v>0</v>
      </c>
      <c r="BS79" s="567">
        <f>INDEX(Tiere!F$30:F$79,'Berechnung Nährstoffe und Lager'!$BL79)</f>
        <v>0</v>
      </c>
      <c r="BT79" s="566">
        <f>INDEX(Tiere!J$30:J$79,'Berechnung Nährstoffe und Lager'!$BL79)</f>
        <v>0</v>
      </c>
      <c r="BU79" s="566">
        <f>INDEX(Tiere!R$30:R$79,'Berechnung Nährstoffe und Lager'!$BL79)</f>
        <v>0</v>
      </c>
      <c r="BV79" s="570">
        <f>INDEX(Tiere!M$30:M$79,'Berechnung Nährstoffe und Lager'!$BL79)</f>
        <v>0</v>
      </c>
      <c r="BW79" s="566">
        <f>INDEX(Tiere!N$30:N$79,'Berechnung Nährstoffe und Lager'!$BL79)</f>
        <v>0</v>
      </c>
      <c r="BX79" s="567">
        <f>INDEX(Tiere!O$30:O$79,'Berechnung Nährstoffe und Lager'!$BL79)</f>
        <v>0</v>
      </c>
      <c r="BY79" s="570">
        <f>INDEX(Tiere!T$30:T$79,'Berechnung Nährstoffe und Lager'!$BL79)</f>
        <v>0</v>
      </c>
      <c r="BZ79" s="567">
        <f>INDEX(Tiere!U$30:U$79,'Berechnung Nährstoffe und Lager'!$BL79)</f>
        <v>0</v>
      </c>
      <c r="CA79" s="573">
        <f>INDEX(Tiere!V$30:V$79,'Berechnung Nährstoffe und Lager'!$BL79)</f>
        <v>0</v>
      </c>
      <c r="CB79" s="567">
        <f>INDEX(Tiere!W$30:W$79,'Berechnung Nährstoffe und Lager'!$BL79)</f>
        <v>0</v>
      </c>
      <c r="CC79" s="567">
        <f>INDEX(Tiere!X$30:X$79,'Berechnung Nährstoffe und Lager'!$BL79)</f>
        <v>0</v>
      </c>
      <c r="CD79" s="567">
        <f>INDEX(Tiere!Y$30:Y$79,'Berechnung Nährstoffe und Lager'!$BL79)</f>
        <v>0</v>
      </c>
      <c r="CE79" s="532">
        <v>5</v>
      </c>
      <c r="CF79" s="532">
        <v>3</v>
      </c>
      <c r="CG79" s="554">
        <v>17</v>
      </c>
      <c r="CH79" s="560">
        <f>INDEX(Tiere!AB$30:AB$79,'Berechnung Nährstoffe und Lager'!$BL79)</f>
        <v>0</v>
      </c>
      <c r="CI79" s="560">
        <f t="shared" si="24"/>
        <v>0</v>
      </c>
      <c r="CJ79" s="560">
        <f t="shared" si="25"/>
        <v>0</v>
      </c>
      <c r="CK79" s="564">
        <f t="shared" si="26"/>
        <v>0</v>
      </c>
      <c r="CL79" s="532"/>
      <c r="CM79" s="1065" t="b">
        <f t="shared" si="27"/>
        <v>0</v>
      </c>
      <c r="CN79" s="532"/>
      <c r="CO79" s="570">
        <f>INDEX(Tiere!AC$30:AC$79,'Berechnung Nährstoffe und Lager'!$BL79)</f>
        <v>0</v>
      </c>
      <c r="CP79" s="570">
        <f>INDEX(Tiere!AD$30:AD$79,'Berechnung Nährstoffe und Lager'!$BL79)</f>
        <v>0</v>
      </c>
      <c r="CQ79" s="570">
        <f>INDEX(Tiere!AE$30:AE$79,'Berechnung Nährstoffe und Lager'!$BL79)</f>
        <v>0</v>
      </c>
      <c r="CR79" s="406">
        <f t="shared" si="28"/>
        <v>0</v>
      </c>
      <c r="CS79" s="409">
        <f t="shared" si="29"/>
        <v>0</v>
      </c>
      <c r="CT79" s="409">
        <f t="shared" si="30"/>
        <v>0</v>
      </c>
      <c r="CU79" s="409">
        <f t="shared" si="31"/>
        <v>0</v>
      </c>
      <c r="CV79" s="409">
        <f t="shared" si="32"/>
        <v>0</v>
      </c>
      <c r="CW79" s="409">
        <f t="shared" si="64"/>
        <v>0</v>
      </c>
      <c r="CX79" s="409">
        <f t="shared" si="65"/>
        <v>0</v>
      </c>
      <c r="CY79" s="409">
        <f t="shared" si="66"/>
        <v>0</v>
      </c>
      <c r="CZ79" s="409">
        <f t="shared" si="67"/>
        <v>0</v>
      </c>
      <c r="DA79" s="409">
        <f t="shared" si="68"/>
        <v>0</v>
      </c>
      <c r="DB79" s="409"/>
      <c r="DC79" s="409">
        <f t="shared" si="69"/>
        <v>0</v>
      </c>
      <c r="DD79" s="409">
        <f t="shared" si="70"/>
        <v>0</v>
      </c>
      <c r="DE79" s="409">
        <f t="shared" si="71"/>
        <v>0</v>
      </c>
      <c r="DF79" s="409">
        <f t="shared" si="72"/>
        <v>0</v>
      </c>
      <c r="DG79" s="409">
        <f t="shared" si="73"/>
        <v>0</v>
      </c>
      <c r="DH79" s="409">
        <f t="shared" si="74"/>
        <v>55</v>
      </c>
      <c r="DI79" s="409">
        <f t="shared" si="75"/>
        <v>0</v>
      </c>
      <c r="DJ79" s="532" t="b">
        <v>0</v>
      </c>
      <c r="DK79" s="560">
        <f t="shared" si="76"/>
        <v>0</v>
      </c>
      <c r="DL79" s="1044">
        <f>INDEX(Tiere!AG$30:AG$79,'Berechnung Nährstoffe und Lager'!$BL79)</f>
        <v>0</v>
      </c>
      <c r="DM79" s="570">
        <f>INDEX(Tiere!AH$30:AH$79,'Berechnung Nährstoffe und Lager'!$BL79)</f>
        <v>0</v>
      </c>
      <c r="DN79" s="570">
        <f>INDEX(Tiere!AI$30:AI$79,'Berechnung Nährstoffe und Lager'!$BL79)</f>
        <v>0</v>
      </c>
      <c r="DO79" s="1044">
        <f>INDEX(Tiere!AJ$30:AJ$79,'Berechnung Nährstoffe und Lager'!$BL79)</f>
        <v>0</v>
      </c>
      <c r="DP79" s="570">
        <f>INDEX(Tiere!AK$30:AK$79,'Berechnung Nährstoffe und Lager'!$BL79)</f>
        <v>0</v>
      </c>
      <c r="DQ79" s="570">
        <f>INDEX(Tiere!AL$30:AL$79,'Berechnung Nährstoffe und Lager'!$BL79)</f>
        <v>0</v>
      </c>
      <c r="DR79" s="570">
        <f>INDEX(Tiere!AM$30:AM$79,'Berechnung Nährstoffe und Lager'!$BL79)</f>
        <v>0</v>
      </c>
      <c r="DS79" s="570">
        <f>INDEX(Tiere!AN$30:AN$79,'Berechnung Nährstoffe und Lager'!$BL79)</f>
        <v>0</v>
      </c>
      <c r="DT79" s="566">
        <f t="shared" si="77"/>
        <v>0</v>
      </c>
      <c r="DU79" s="566">
        <f t="shared" si="33"/>
        <v>0</v>
      </c>
      <c r="DV79" s="566">
        <f t="shared" si="34"/>
        <v>0</v>
      </c>
      <c r="DW79" s="566">
        <f t="shared" si="35"/>
        <v>0</v>
      </c>
      <c r="DX79" s="566">
        <f t="shared" si="36"/>
        <v>0</v>
      </c>
      <c r="DY79" s="1268">
        <f t="shared" si="78"/>
        <v>0</v>
      </c>
      <c r="DZ79" s="1063">
        <f t="shared" si="79"/>
        <v>0</v>
      </c>
      <c r="EA79" s="1268">
        <f t="shared" si="80"/>
        <v>0</v>
      </c>
      <c r="EB79" s="1063">
        <f t="shared" si="81"/>
        <v>0</v>
      </c>
      <c r="EC79" s="1063">
        <f t="shared" si="37"/>
        <v>0</v>
      </c>
      <c r="ED79" s="406">
        <f t="shared" si="38"/>
        <v>0</v>
      </c>
      <c r="EE79" s="1063">
        <f t="shared" si="82"/>
        <v>0</v>
      </c>
      <c r="EF79" s="406" t="e">
        <f t="shared" si="39"/>
        <v>#DIV/0!</v>
      </c>
      <c r="EG79" s="406">
        <f t="shared" si="40"/>
        <v>0</v>
      </c>
      <c r="EH79" s="458" t="e">
        <f t="shared" si="90"/>
        <v>#DIV/0!</v>
      </c>
      <c r="EI79" s="458" t="e">
        <f t="shared" si="91"/>
        <v>#DIV/0!</v>
      </c>
      <c r="EJ79" s="458" t="e">
        <f t="shared" si="83"/>
        <v>#DIV/0!</v>
      </c>
      <c r="EK79" s="406">
        <f t="shared" si="84"/>
        <v>0</v>
      </c>
      <c r="EL79" s="406">
        <f t="shared" si="85"/>
        <v>0</v>
      </c>
      <c r="EM79" s="521">
        <f t="shared" si="86"/>
        <v>0</v>
      </c>
      <c r="EN79" s="678">
        <f t="shared" si="87"/>
        <v>0</v>
      </c>
      <c r="EO79" s="678">
        <f t="shared" si="88"/>
        <v>0</v>
      </c>
    </row>
    <row r="80" spans="1:146" ht="18" customHeight="1" x14ac:dyDescent="0.2">
      <c r="A80" s="2033"/>
      <c r="B80" s="2034"/>
      <c r="C80" s="2034"/>
      <c r="D80" s="2034"/>
      <c r="E80" s="443"/>
      <c r="F80" s="450"/>
      <c r="G80" s="350"/>
      <c r="H80" s="443"/>
      <c r="I80" s="1122"/>
      <c r="J80" s="693" t="str">
        <f t="shared" si="41"/>
        <v xml:space="preserve"> </v>
      </c>
      <c r="K80" s="1931" t="str">
        <f t="shared" si="1"/>
        <v xml:space="preserve"> </v>
      </c>
      <c r="L80" s="1932"/>
      <c r="M80" s="1250"/>
      <c r="N80" s="20"/>
      <c r="O80" s="20"/>
      <c r="P80" s="532"/>
      <c r="Q80" s="560" t="str">
        <f t="shared" si="2"/>
        <v xml:space="preserve"> </v>
      </c>
      <c r="R80" s="560" t="str">
        <f t="shared" si="3"/>
        <v xml:space="preserve"> </v>
      </c>
      <c r="S80" s="560">
        <f t="shared" si="42"/>
        <v>0</v>
      </c>
      <c r="T80" s="641">
        <f t="shared" si="43"/>
        <v>0</v>
      </c>
      <c r="U80" s="560">
        <f t="shared" si="4"/>
        <v>0</v>
      </c>
      <c r="V80" s="560">
        <f t="shared" si="5"/>
        <v>0</v>
      </c>
      <c r="W80" s="560">
        <f t="shared" si="6"/>
        <v>0</v>
      </c>
      <c r="X80" s="560">
        <f t="shared" si="7"/>
        <v>0</v>
      </c>
      <c r="Y80" s="560" t="str">
        <f t="shared" si="8"/>
        <v xml:space="preserve"> </v>
      </c>
      <c r="Z80" s="561">
        <f t="shared" si="9"/>
        <v>0</v>
      </c>
      <c r="AA80" s="562">
        <f t="shared" si="10"/>
        <v>0</v>
      </c>
      <c r="AB80" s="641">
        <f t="shared" si="44"/>
        <v>0</v>
      </c>
      <c r="AC80" s="641">
        <f t="shared" si="45"/>
        <v>0</v>
      </c>
      <c r="AD80" s="641">
        <f t="shared" si="46"/>
        <v>0</v>
      </c>
      <c r="AE80" s="641">
        <f t="shared" si="47"/>
        <v>0</v>
      </c>
      <c r="AF80" s="563">
        <f t="shared" si="11"/>
        <v>0</v>
      </c>
      <c r="AG80" s="560">
        <f t="shared" si="12"/>
        <v>0</v>
      </c>
      <c r="AH80" s="560">
        <f t="shared" si="13"/>
        <v>0</v>
      </c>
      <c r="AI80" s="564">
        <f t="shared" si="14"/>
        <v>0</v>
      </c>
      <c r="AJ80" s="565">
        <f>INDEX(Tiere!K$30:K$79,'Berechnung Nährstoffe und Lager'!$BL80)</f>
        <v>0</v>
      </c>
      <c r="AK80" s="565">
        <f>INDEX(Tiere!S$30:S$79,'Berechnung Nährstoffe und Lager'!BL80)</f>
        <v>0</v>
      </c>
      <c r="AL80" s="560">
        <f t="shared" si="48"/>
        <v>0</v>
      </c>
      <c r="AM80" s="560">
        <f t="shared" si="49"/>
        <v>0</v>
      </c>
      <c r="AN80" s="560">
        <f t="shared" si="50"/>
        <v>0</v>
      </c>
      <c r="AO80" s="563">
        <f t="shared" si="15"/>
        <v>0</v>
      </c>
      <c r="AP80" s="560">
        <f t="shared" si="16"/>
        <v>0</v>
      </c>
      <c r="AQ80" s="564">
        <f t="shared" si="17"/>
        <v>0</v>
      </c>
      <c r="AR80" s="565">
        <f>INDEX(Tiere!P$30:P$79,'Berechnung Nährstoffe und Lager'!$BL80)</f>
        <v>0</v>
      </c>
      <c r="AS80" s="566">
        <f t="shared" si="51"/>
        <v>0</v>
      </c>
      <c r="AT80" s="566">
        <f t="shared" si="52"/>
        <v>0</v>
      </c>
      <c r="AU80" s="566">
        <f t="shared" si="53"/>
        <v>0</v>
      </c>
      <c r="AV80" s="563">
        <f t="shared" si="54"/>
        <v>0</v>
      </c>
      <c r="AW80" s="560">
        <f t="shared" si="55"/>
        <v>0</v>
      </c>
      <c r="AX80" s="564">
        <f t="shared" si="56"/>
        <v>0</v>
      </c>
      <c r="AY80" s="560"/>
      <c r="AZ80" s="638">
        <f t="shared" si="18"/>
        <v>0</v>
      </c>
      <c r="BA80" s="639">
        <f t="shared" si="19"/>
        <v>0</v>
      </c>
      <c r="BB80" s="639">
        <f t="shared" si="20"/>
        <v>0</v>
      </c>
      <c r="BC80" s="563">
        <f t="shared" si="21"/>
        <v>0</v>
      </c>
      <c r="BD80" s="560">
        <f t="shared" si="22"/>
        <v>0</v>
      </c>
      <c r="BE80" s="564">
        <f t="shared" si="23"/>
        <v>0</v>
      </c>
      <c r="BF80" s="570">
        <f t="shared" si="57"/>
        <v>0</v>
      </c>
      <c r="BG80" s="567">
        <f t="shared" si="58"/>
        <v>0</v>
      </c>
      <c r="BH80" s="570">
        <f t="shared" si="89"/>
        <v>0</v>
      </c>
      <c r="BI80" s="570">
        <f>IF(BK80=2,0,IF(BK80=3,0,0))</f>
        <v>0</v>
      </c>
      <c r="BJ80" s="570">
        <f t="shared" si="60"/>
        <v>0</v>
      </c>
      <c r="BK80" s="571">
        <f t="shared" si="61"/>
        <v>1</v>
      </c>
      <c r="BL80" s="572">
        <v>1</v>
      </c>
      <c r="BM80" s="572">
        <v>1</v>
      </c>
      <c r="BN80" s="571">
        <f>INDEX(Tiere!C$30:C$79,'Berechnung Nährstoffe und Lager'!$BL80)</f>
        <v>0</v>
      </c>
      <c r="BO80" s="571" t="str">
        <f t="shared" si="62"/>
        <v>1</v>
      </c>
      <c r="BP80" s="571">
        <f t="shared" si="63"/>
        <v>0</v>
      </c>
      <c r="BQ80" s="570">
        <f>INDEX(Tiere!D$30:D$79,'Berechnung Nährstoffe und Lager'!$BL80)</f>
        <v>0</v>
      </c>
      <c r="BR80" s="566">
        <f>INDEX(Tiere!E$30:E$79,'Berechnung Nährstoffe und Lager'!$BL80)</f>
        <v>0</v>
      </c>
      <c r="BS80" s="567">
        <f>INDEX(Tiere!F$30:F$79,'Berechnung Nährstoffe und Lager'!$BL80)</f>
        <v>0</v>
      </c>
      <c r="BT80" s="566">
        <f>INDEX(Tiere!J$30:J$79,'Berechnung Nährstoffe und Lager'!$BL80)</f>
        <v>0</v>
      </c>
      <c r="BU80" s="566">
        <f>INDEX(Tiere!R$30:R$79,'Berechnung Nährstoffe und Lager'!$BL80)</f>
        <v>0</v>
      </c>
      <c r="BV80" s="570">
        <f>INDEX(Tiere!M$30:M$79,'Berechnung Nährstoffe und Lager'!$BL80)</f>
        <v>0</v>
      </c>
      <c r="BW80" s="566">
        <f>INDEX(Tiere!N$30:N$79,'Berechnung Nährstoffe und Lager'!$BL80)</f>
        <v>0</v>
      </c>
      <c r="BX80" s="567">
        <f>INDEX(Tiere!O$30:O$79,'Berechnung Nährstoffe und Lager'!$BL80)</f>
        <v>0</v>
      </c>
      <c r="BY80" s="570">
        <f>INDEX(Tiere!T$30:T$79,'Berechnung Nährstoffe und Lager'!$BL80)</f>
        <v>0</v>
      </c>
      <c r="BZ80" s="567">
        <f>INDEX(Tiere!U$30:U$79,'Berechnung Nährstoffe und Lager'!$BL80)</f>
        <v>0</v>
      </c>
      <c r="CA80" s="573">
        <f>INDEX(Tiere!V$30:V$79,'Berechnung Nährstoffe und Lager'!$BL80)</f>
        <v>0</v>
      </c>
      <c r="CB80" s="567">
        <f>INDEX(Tiere!W$30:W$79,'Berechnung Nährstoffe und Lager'!$BL80)</f>
        <v>0</v>
      </c>
      <c r="CC80" s="567">
        <f>INDEX(Tiere!X$30:X$79,'Berechnung Nährstoffe und Lager'!$BL80)</f>
        <v>0</v>
      </c>
      <c r="CD80" s="567">
        <f>INDEX(Tiere!Y$30:Y$79,'Berechnung Nährstoffe und Lager'!$BL80)</f>
        <v>0</v>
      </c>
      <c r="CE80" s="532">
        <v>5</v>
      </c>
      <c r="CF80" s="532">
        <v>3</v>
      </c>
      <c r="CG80" s="554">
        <v>17</v>
      </c>
      <c r="CH80" s="560">
        <f>INDEX(Tiere!AB$30:AB$79,'Berechnung Nährstoffe und Lager'!$BL80)</f>
        <v>0</v>
      </c>
      <c r="CI80" s="560">
        <f t="shared" si="24"/>
        <v>0</v>
      </c>
      <c r="CJ80" s="560">
        <f t="shared" si="25"/>
        <v>0</v>
      </c>
      <c r="CK80" s="564">
        <f t="shared" si="26"/>
        <v>0</v>
      </c>
      <c r="CL80" s="532"/>
      <c r="CM80" s="1065" t="b">
        <f t="shared" si="27"/>
        <v>0</v>
      </c>
      <c r="CN80" s="532"/>
      <c r="CO80" s="570">
        <f>INDEX(Tiere!AC$30:AC$79,'Berechnung Nährstoffe und Lager'!$BL80)</f>
        <v>0</v>
      </c>
      <c r="CP80" s="570">
        <f>INDEX(Tiere!AD$30:AD$79,'Berechnung Nährstoffe und Lager'!$BL80)</f>
        <v>0</v>
      </c>
      <c r="CQ80" s="570">
        <f>INDEX(Tiere!AE$30:AE$79,'Berechnung Nährstoffe und Lager'!$BL80)</f>
        <v>0</v>
      </c>
      <c r="CR80" s="406">
        <f t="shared" si="28"/>
        <v>0</v>
      </c>
      <c r="CS80" s="409">
        <f t="shared" si="29"/>
        <v>0</v>
      </c>
      <c r="CT80" s="409">
        <f t="shared" si="30"/>
        <v>0</v>
      </c>
      <c r="CU80" s="409">
        <f t="shared" si="31"/>
        <v>0</v>
      </c>
      <c r="CV80" s="409">
        <f t="shared" si="32"/>
        <v>0</v>
      </c>
      <c r="CW80" s="409">
        <f t="shared" si="64"/>
        <v>0</v>
      </c>
      <c r="CX80" s="409">
        <f t="shared" si="65"/>
        <v>0</v>
      </c>
      <c r="CY80" s="409">
        <f t="shared" si="66"/>
        <v>0</v>
      </c>
      <c r="CZ80" s="409">
        <f t="shared" si="67"/>
        <v>0</v>
      </c>
      <c r="DA80" s="409">
        <f t="shared" si="68"/>
        <v>0</v>
      </c>
      <c r="DB80" s="409"/>
      <c r="DC80" s="409">
        <f t="shared" si="69"/>
        <v>0</v>
      </c>
      <c r="DD80" s="409">
        <f t="shared" si="70"/>
        <v>0</v>
      </c>
      <c r="DE80" s="409">
        <f t="shared" si="71"/>
        <v>0</v>
      </c>
      <c r="DF80" s="409">
        <f t="shared" si="72"/>
        <v>0</v>
      </c>
      <c r="DG80" s="409">
        <f t="shared" si="73"/>
        <v>0</v>
      </c>
      <c r="DH80" s="409">
        <f t="shared" si="74"/>
        <v>55</v>
      </c>
      <c r="DI80" s="409">
        <f t="shared" si="75"/>
        <v>0</v>
      </c>
      <c r="DJ80" s="532" t="b">
        <v>0</v>
      </c>
      <c r="DK80" s="560">
        <f t="shared" si="76"/>
        <v>0</v>
      </c>
      <c r="DL80" s="1044">
        <f>INDEX(Tiere!AG$30:AG$79,'Berechnung Nährstoffe und Lager'!$BL80)</f>
        <v>0</v>
      </c>
      <c r="DM80" s="570">
        <f>INDEX(Tiere!AH$30:AH$79,'Berechnung Nährstoffe und Lager'!$BL80)</f>
        <v>0</v>
      </c>
      <c r="DN80" s="570">
        <f>INDEX(Tiere!AI$30:AI$79,'Berechnung Nährstoffe und Lager'!$BL80)</f>
        <v>0</v>
      </c>
      <c r="DO80" s="1044">
        <f>INDEX(Tiere!AJ$30:AJ$79,'Berechnung Nährstoffe und Lager'!$BL80)</f>
        <v>0</v>
      </c>
      <c r="DP80" s="570">
        <f>INDEX(Tiere!AK$30:AK$79,'Berechnung Nährstoffe und Lager'!$BL80)</f>
        <v>0</v>
      </c>
      <c r="DQ80" s="570">
        <f>INDEX(Tiere!AL$30:AL$79,'Berechnung Nährstoffe und Lager'!$BL80)</f>
        <v>0</v>
      </c>
      <c r="DR80" s="570">
        <f>INDEX(Tiere!AM$30:AM$79,'Berechnung Nährstoffe und Lager'!$BL80)</f>
        <v>0</v>
      </c>
      <c r="DS80" s="570">
        <f>INDEX(Tiere!AN$30:AN$79,'Berechnung Nährstoffe und Lager'!$BL80)</f>
        <v>0</v>
      </c>
      <c r="DT80" s="566">
        <f t="shared" si="77"/>
        <v>0</v>
      </c>
      <c r="DU80" s="566">
        <f t="shared" si="33"/>
        <v>0</v>
      </c>
      <c r="DV80" s="566">
        <f t="shared" si="34"/>
        <v>0</v>
      </c>
      <c r="DW80" s="566">
        <f t="shared" si="35"/>
        <v>0</v>
      </c>
      <c r="DX80" s="566">
        <f t="shared" si="36"/>
        <v>0</v>
      </c>
      <c r="DY80" s="1268">
        <f t="shared" si="78"/>
        <v>0</v>
      </c>
      <c r="DZ80" s="1063">
        <f t="shared" si="79"/>
        <v>0</v>
      </c>
      <c r="EA80" s="1268">
        <f t="shared" si="80"/>
        <v>0</v>
      </c>
      <c r="EB80" s="1063">
        <f t="shared" si="81"/>
        <v>0</v>
      </c>
      <c r="EC80" s="1063">
        <f t="shared" si="37"/>
        <v>0</v>
      </c>
      <c r="ED80" s="406">
        <f t="shared" si="38"/>
        <v>0</v>
      </c>
      <c r="EE80" s="1063">
        <f t="shared" si="82"/>
        <v>0</v>
      </c>
      <c r="EF80" s="406" t="e">
        <f t="shared" si="39"/>
        <v>#DIV/0!</v>
      </c>
      <c r="EG80" s="406">
        <f t="shared" si="40"/>
        <v>0</v>
      </c>
      <c r="EH80" s="458" t="e">
        <f t="shared" si="90"/>
        <v>#DIV/0!</v>
      </c>
      <c r="EI80" s="458" t="e">
        <f t="shared" si="91"/>
        <v>#DIV/0!</v>
      </c>
      <c r="EJ80" s="458" t="e">
        <f t="shared" si="83"/>
        <v>#DIV/0!</v>
      </c>
      <c r="EK80" s="406">
        <f t="shared" si="84"/>
        <v>0</v>
      </c>
      <c r="EL80" s="406">
        <f t="shared" si="85"/>
        <v>0</v>
      </c>
      <c r="EM80" s="521">
        <f t="shared" si="86"/>
        <v>0</v>
      </c>
      <c r="EN80" s="678">
        <f t="shared" si="87"/>
        <v>0</v>
      </c>
      <c r="EO80" s="678">
        <f t="shared" si="88"/>
        <v>0</v>
      </c>
    </row>
    <row r="81" spans="1:151" ht="18" customHeight="1" thickBot="1" x14ac:dyDescent="0.25">
      <c r="A81" s="2033"/>
      <c r="B81" s="2034"/>
      <c r="C81" s="2034"/>
      <c r="D81" s="2034"/>
      <c r="E81" s="451"/>
      <c r="F81" s="452"/>
      <c r="G81" s="350"/>
      <c r="H81" s="451"/>
      <c r="I81" s="454"/>
      <c r="J81" s="694" t="str">
        <f t="shared" si="41"/>
        <v xml:space="preserve"> </v>
      </c>
      <c r="K81" s="1957" t="str">
        <f t="shared" si="1"/>
        <v xml:space="preserve"> </v>
      </c>
      <c r="L81" s="1958"/>
      <c r="M81" s="1252"/>
      <c r="N81" s="20"/>
      <c r="O81" s="20"/>
      <c r="P81" s="532"/>
      <c r="Q81" s="560" t="str">
        <f t="shared" si="2"/>
        <v xml:space="preserve"> </v>
      </c>
      <c r="R81" s="560" t="str">
        <f t="shared" si="3"/>
        <v xml:space="preserve"> </v>
      </c>
      <c r="S81" s="560">
        <f t="shared" si="42"/>
        <v>0</v>
      </c>
      <c r="T81" s="641">
        <f t="shared" si="43"/>
        <v>0</v>
      </c>
      <c r="U81" s="560">
        <f t="shared" si="4"/>
        <v>0</v>
      </c>
      <c r="V81" s="560">
        <f t="shared" si="5"/>
        <v>0</v>
      </c>
      <c r="W81" s="560">
        <f t="shared" si="6"/>
        <v>0</v>
      </c>
      <c r="X81" s="560">
        <f t="shared" si="7"/>
        <v>0</v>
      </c>
      <c r="Y81" s="560" t="str">
        <f t="shared" si="8"/>
        <v xml:space="preserve"> </v>
      </c>
      <c r="Z81" s="561">
        <f t="shared" si="9"/>
        <v>0</v>
      </c>
      <c r="AA81" s="562">
        <f t="shared" si="10"/>
        <v>0</v>
      </c>
      <c r="AB81" s="641">
        <f t="shared" si="44"/>
        <v>0</v>
      </c>
      <c r="AC81" s="641">
        <f t="shared" si="45"/>
        <v>0</v>
      </c>
      <c r="AD81" s="641">
        <f t="shared" si="46"/>
        <v>0</v>
      </c>
      <c r="AE81" s="641">
        <f t="shared" si="47"/>
        <v>0</v>
      </c>
      <c r="AF81" s="563">
        <f t="shared" si="11"/>
        <v>0</v>
      </c>
      <c r="AG81" s="560">
        <f t="shared" si="12"/>
        <v>0</v>
      </c>
      <c r="AH81" s="560">
        <f t="shared" si="13"/>
        <v>0</v>
      </c>
      <c r="AI81" s="564">
        <f t="shared" si="14"/>
        <v>0</v>
      </c>
      <c r="AJ81" s="565">
        <f>INDEX(Tiere!K$30:K$79,'Berechnung Nährstoffe und Lager'!$BL81)</f>
        <v>0</v>
      </c>
      <c r="AK81" s="565">
        <f>INDEX(Tiere!S$30:S$79,'Berechnung Nährstoffe und Lager'!BL81)</f>
        <v>0</v>
      </c>
      <c r="AL81" s="560">
        <f t="shared" si="48"/>
        <v>0</v>
      </c>
      <c r="AM81" s="560">
        <f t="shared" si="49"/>
        <v>0</v>
      </c>
      <c r="AN81" s="560">
        <f t="shared" si="50"/>
        <v>0</v>
      </c>
      <c r="AO81" s="563">
        <f t="shared" si="15"/>
        <v>0</v>
      </c>
      <c r="AP81" s="560">
        <f t="shared" si="16"/>
        <v>0</v>
      </c>
      <c r="AQ81" s="564">
        <f t="shared" si="17"/>
        <v>0</v>
      </c>
      <c r="AR81" s="565">
        <f>INDEX(Tiere!P$30:P$79,'Berechnung Nährstoffe und Lager'!$BL81)</f>
        <v>0</v>
      </c>
      <c r="AS81" s="566">
        <f t="shared" si="51"/>
        <v>0</v>
      </c>
      <c r="AT81" s="566">
        <f t="shared" si="52"/>
        <v>0</v>
      </c>
      <c r="AU81" s="566">
        <f t="shared" si="53"/>
        <v>0</v>
      </c>
      <c r="AV81" s="563">
        <f t="shared" si="54"/>
        <v>0</v>
      </c>
      <c r="AW81" s="560">
        <f t="shared" si="55"/>
        <v>0</v>
      </c>
      <c r="AX81" s="564">
        <f t="shared" si="56"/>
        <v>0</v>
      </c>
      <c r="AY81" s="560"/>
      <c r="AZ81" s="638">
        <f t="shared" si="18"/>
        <v>0</v>
      </c>
      <c r="BA81" s="639">
        <f t="shared" si="19"/>
        <v>0</v>
      </c>
      <c r="BB81" s="639">
        <f t="shared" si="20"/>
        <v>0</v>
      </c>
      <c r="BC81" s="563">
        <f t="shared" si="21"/>
        <v>0</v>
      </c>
      <c r="BD81" s="560">
        <f t="shared" si="22"/>
        <v>0</v>
      </c>
      <c r="BE81" s="564">
        <f t="shared" si="23"/>
        <v>0</v>
      </c>
      <c r="BF81" s="570">
        <f t="shared" si="57"/>
        <v>0</v>
      </c>
      <c r="BG81" s="567">
        <f t="shared" si="58"/>
        <v>0</v>
      </c>
      <c r="BH81" s="570">
        <f t="shared" si="89"/>
        <v>0</v>
      </c>
      <c r="BI81" s="570">
        <f t="shared" si="59"/>
        <v>0</v>
      </c>
      <c r="BJ81" s="570">
        <f t="shared" si="60"/>
        <v>0</v>
      </c>
      <c r="BK81" s="571">
        <f t="shared" si="61"/>
        <v>1</v>
      </c>
      <c r="BL81" s="572">
        <v>1</v>
      </c>
      <c r="BM81" s="572">
        <v>1</v>
      </c>
      <c r="BN81" s="571">
        <f>INDEX(Tiere!C$30:C$79,'Berechnung Nährstoffe und Lager'!$BL81)</f>
        <v>0</v>
      </c>
      <c r="BO81" s="571" t="str">
        <f t="shared" si="62"/>
        <v>1</v>
      </c>
      <c r="BP81" s="571">
        <f t="shared" si="63"/>
        <v>0</v>
      </c>
      <c r="BQ81" s="570">
        <f>INDEX(Tiere!D$30:D$79,'Berechnung Nährstoffe und Lager'!$BL81)</f>
        <v>0</v>
      </c>
      <c r="BR81" s="566">
        <f>INDEX(Tiere!E$30:E$79,'Berechnung Nährstoffe und Lager'!$BL81)</f>
        <v>0</v>
      </c>
      <c r="BS81" s="567">
        <f>INDEX(Tiere!F$30:F$79,'Berechnung Nährstoffe und Lager'!$BL81)</f>
        <v>0</v>
      </c>
      <c r="BT81" s="566">
        <f>INDEX(Tiere!J$30:J$79,'Berechnung Nährstoffe und Lager'!$BL81)</f>
        <v>0</v>
      </c>
      <c r="BU81" s="566">
        <f>INDEX(Tiere!R$30:R$79,'Berechnung Nährstoffe und Lager'!$BL81)</f>
        <v>0</v>
      </c>
      <c r="BV81" s="570">
        <f>INDEX(Tiere!M$30:M$79,'Berechnung Nährstoffe und Lager'!$BL81)</f>
        <v>0</v>
      </c>
      <c r="BW81" s="566">
        <f>INDEX(Tiere!N$30:N$79,'Berechnung Nährstoffe und Lager'!$BL81)</f>
        <v>0</v>
      </c>
      <c r="BX81" s="567">
        <f>INDEX(Tiere!O$30:O$79,'Berechnung Nährstoffe und Lager'!$BL81)</f>
        <v>0</v>
      </c>
      <c r="BY81" s="570">
        <f>INDEX(Tiere!T$30:T$79,'Berechnung Nährstoffe und Lager'!$BL81)</f>
        <v>0</v>
      </c>
      <c r="BZ81" s="567">
        <f>INDEX(Tiere!U$30:U$79,'Berechnung Nährstoffe und Lager'!$BL81)</f>
        <v>0</v>
      </c>
      <c r="CA81" s="573">
        <f>INDEX(Tiere!V$30:V$79,'Berechnung Nährstoffe und Lager'!$BL81)</f>
        <v>0</v>
      </c>
      <c r="CB81" s="567">
        <f>INDEX(Tiere!W$30:W$79,'Berechnung Nährstoffe und Lager'!$BL81)</f>
        <v>0</v>
      </c>
      <c r="CC81" s="567">
        <f>INDEX(Tiere!X$30:X$79,'Berechnung Nährstoffe und Lager'!$BL81)</f>
        <v>0</v>
      </c>
      <c r="CD81" s="567">
        <f>INDEX(Tiere!Y$30:Y$79,'Berechnung Nährstoffe und Lager'!$BL81)</f>
        <v>0</v>
      </c>
      <c r="CE81" s="532">
        <v>5</v>
      </c>
      <c r="CF81" s="532">
        <v>3</v>
      </c>
      <c r="CG81" s="554">
        <v>17</v>
      </c>
      <c r="CH81" s="560">
        <f>INDEX(Tiere!AB$30:AB$79,'Berechnung Nährstoffe und Lager'!$BL81)</f>
        <v>0</v>
      </c>
      <c r="CI81" s="560">
        <f t="shared" si="24"/>
        <v>0</v>
      </c>
      <c r="CJ81" s="560">
        <f t="shared" si="25"/>
        <v>0</v>
      </c>
      <c r="CK81" s="564">
        <f t="shared" si="26"/>
        <v>0</v>
      </c>
      <c r="CL81" s="532"/>
      <c r="CM81" s="1065" t="b">
        <f t="shared" si="27"/>
        <v>0</v>
      </c>
      <c r="CN81" s="532"/>
      <c r="CO81" s="570">
        <f>INDEX(Tiere!AC$30:AC$79,'Berechnung Nährstoffe und Lager'!$BL81)</f>
        <v>0</v>
      </c>
      <c r="CP81" s="570">
        <f>INDEX(Tiere!AD$30:AD$79,'Berechnung Nährstoffe und Lager'!$BL81)</f>
        <v>0</v>
      </c>
      <c r="CQ81" s="570">
        <f>INDEX(Tiere!AE$30:AE$79,'Berechnung Nährstoffe und Lager'!$BL81)</f>
        <v>0</v>
      </c>
      <c r="CR81" s="406">
        <f t="shared" si="28"/>
        <v>0</v>
      </c>
      <c r="CS81" s="409">
        <f t="shared" si="29"/>
        <v>0</v>
      </c>
      <c r="CT81" s="409">
        <f t="shared" si="30"/>
        <v>0</v>
      </c>
      <c r="CU81" s="409">
        <f t="shared" si="31"/>
        <v>0</v>
      </c>
      <c r="CV81" s="409">
        <f t="shared" si="32"/>
        <v>0</v>
      </c>
      <c r="CW81" s="409">
        <f t="shared" si="64"/>
        <v>0</v>
      </c>
      <c r="CX81" s="409">
        <f t="shared" si="65"/>
        <v>0</v>
      </c>
      <c r="CY81" s="409">
        <f t="shared" si="66"/>
        <v>0</v>
      </c>
      <c r="CZ81" s="409">
        <f t="shared" si="67"/>
        <v>0</v>
      </c>
      <c r="DA81" s="409">
        <f t="shared" si="68"/>
        <v>0</v>
      </c>
      <c r="DB81" s="409"/>
      <c r="DC81" s="409">
        <f t="shared" si="69"/>
        <v>0</v>
      </c>
      <c r="DD81" s="409">
        <f t="shared" si="70"/>
        <v>0</v>
      </c>
      <c r="DE81" s="409">
        <f t="shared" si="71"/>
        <v>0</v>
      </c>
      <c r="DF81" s="409">
        <f t="shared" si="72"/>
        <v>0</v>
      </c>
      <c r="DG81" s="409">
        <f t="shared" si="73"/>
        <v>0</v>
      </c>
      <c r="DH81" s="409">
        <f t="shared" si="74"/>
        <v>55</v>
      </c>
      <c r="DI81" s="409">
        <f t="shared" si="75"/>
        <v>0</v>
      </c>
      <c r="DJ81" s="532" t="b">
        <v>0</v>
      </c>
      <c r="DK81" s="560">
        <f t="shared" si="76"/>
        <v>0</v>
      </c>
      <c r="DL81" s="1044">
        <f>INDEX(Tiere!AG$30:AG$79,'Berechnung Nährstoffe und Lager'!$BL81)</f>
        <v>0</v>
      </c>
      <c r="DM81" s="570">
        <f>INDEX(Tiere!AH$30:AH$79,'Berechnung Nährstoffe und Lager'!$BL81)</f>
        <v>0</v>
      </c>
      <c r="DN81" s="570">
        <f>INDEX(Tiere!AI$30:AI$79,'Berechnung Nährstoffe und Lager'!$BL81)</f>
        <v>0</v>
      </c>
      <c r="DO81" s="1044">
        <f>INDEX(Tiere!AJ$30:AJ$79,'Berechnung Nährstoffe und Lager'!$BL81)</f>
        <v>0</v>
      </c>
      <c r="DP81" s="570">
        <f>INDEX(Tiere!AK$30:AK$79,'Berechnung Nährstoffe und Lager'!$BL81)</f>
        <v>0</v>
      </c>
      <c r="DQ81" s="570">
        <f>INDEX(Tiere!AL$30:AL$79,'Berechnung Nährstoffe und Lager'!$BL81)</f>
        <v>0</v>
      </c>
      <c r="DR81" s="570">
        <f>INDEX(Tiere!AM$30:AM$79,'Berechnung Nährstoffe und Lager'!$BL81)</f>
        <v>0</v>
      </c>
      <c r="DS81" s="570">
        <f>INDEX(Tiere!AN$30:AN$79,'Berechnung Nährstoffe und Lager'!$BL81)</f>
        <v>0</v>
      </c>
      <c r="DT81" s="566">
        <f t="shared" si="77"/>
        <v>0</v>
      </c>
      <c r="DU81" s="566">
        <f t="shared" si="33"/>
        <v>0</v>
      </c>
      <c r="DV81" s="566">
        <f t="shared" si="34"/>
        <v>0</v>
      </c>
      <c r="DW81" s="566">
        <f t="shared" si="35"/>
        <v>0</v>
      </c>
      <c r="DX81" s="566">
        <f t="shared" si="36"/>
        <v>0</v>
      </c>
      <c r="DY81" s="1268">
        <f t="shared" si="78"/>
        <v>0</v>
      </c>
      <c r="DZ81" s="1063">
        <f t="shared" si="79"/>
        <v>0</v>
      </c>
      <c r="EA81" s="1268">
        <f t="shared" si="80"/>
        <v>0</v>
      </c>
      <c r="EB81" s="1063">
        <f t="shared" si="81"/>
        <v>0</v>
      </c>
      <c r="EC81" s="1063">
        <f t="shared" si="37"/>
        <v>0</v>
      </c>
      <c r="ED81" s="406">
        <f t="shared" si="38"/>
        <v>0</v>
      </c>
      <c r="EE81" s="1063">
        <f t="shared" si="82"/>
        <v>0</v>
      </c>
      <c r="EF81" s="406" t="e">
        <f t="shared" si="39"/>
        <v>#DIV/0!</v>
      </c>
      <c r="EG81" s="406">
        <f t="shared" si="40"/>
        <v>0</v>
      </c>
      <c r="EH81" s="458" t="e">
        <f t="shared" si="90"/>
        <v>#DIV/0!</v>
      </c>
      <c r="EI81" s="458" t="e">
        <f t="shared" si="91"/>
        <v>#DIV/0!</v>
      </c>
      <c r="EJ81" s="458" t="e">
        <f t="shared" si="83"/>
        <v>#DIV/0!</v>
      </c>
      <c r="EK81" s="406">
        <f t="shared" si="84"/>
        <v>0</v>
      </c>
      <c r="EL81" s="406">
        <f t="shared" si="85"/>
        <v>0</v>
      </c>
      <c r="EM81" s="521">
        <f t="shared" si="86"/>
        <v>0</v>
      </c>
      <c r="EN81" s="678">
        <f t="shared" si="87"/>
        <v>0</v>
      </c>
      <c r="EO81" s="678">
        <f t="shared" si="88"/>
        <v>0</v>
      </c>
    </row>
    <row r="82" spans="1:151" ht="18" customHeight="1" x14ac:dyDescent="0.2">
      <c r="A82" s="2141" t="s">
        <v>1028</v>
      </c>
      <c r="B82" s="2142"/>
      <c r="C82" s="2142"/>
      <c r="D82" s="2142"/>
      <c r="E82" s="2142"/>
      <c r="F82" s="2142"/>
      <c r="G82" s="2142"/>
      <c r="H82" s="2142"/>
      <c r="I82" s="2143"/>
      <c r="J82" s="1430"/>
      <c r="K82" s="2004"/>
      <c r="L82" s="2005"/>
      <c r="M82" s="1429"/>
      <c r="N82" s="20"/>
      <c r="O82" s="20"/>
      <c r="P82" s="532"/>
      <c r="Q82" s="560"/>
      <c r="R82" s="560">
        <f t="shared" si="3"/>
        <v>0</v>
      </c>
      <c r="S82" s="560">
        <f t="shared" si="42"/>
        <v>0</v>
      </c>
      <c r="T82" s="641">
        <f t="shared" si="43"/>
        <v>0</v>
      </c>
      <c r="U82" s="560"/>
      <c r="V82" s="560"/>
      <c r="W82" s="560"/>
      <c r="X82" s="560"/>
      <c r="Y82" s="560"/>
      <c r="Z82" s="561"/>
      <c r="AA82" s="562"/>
      <c r="AB82" s="641">
        <f t="shared" si="44"/>
        <v>0</v>
      </c>
      <c r="AC82" s="641">
        <f t="shared" si="45"/>
        <v>0</v>
      </c>
      <c r="AD82" s="641">
        <f t="shared" si="46"/>
        <v>0</v>
      </c>
      <c r="AE82" s="641">
        <f t="shared" si="47"/>
        <v>0</v>
      </c>
      <c r="AF82" s="563"/>
      <c r="AG82" s="560"/>
      <c r="AH82" s="560"/>
      <c r="AI82" s="564"/>
      <c r="AJ82" s="574"/>
      <c r="AK82" s="574"/>
      <c r="AL82" s="560">
        <v>0</v>
      </c>
      <c r="AM82" s="560"/>
      <c r="AN82" s="560"/>
      <c r="AO82" s="563"/>
      <c r="AP82" s="560"/>
      <c r="AQ82" s="564"/>
      <c r="AR82" s="574"/>
      <c r="AS82" s="566"/>
      <c r="AT82" s="566"/>
      <c r="AU82" s="566"/>
      <c r="AV82" s="563"/>
      <c r="AW82" s="560"/>
      <c r="AX82" s="564"/>
      <c r="AY82" s="532"/>
      <c r="AZ82" s="638"/>
      <c r="BA82" s="639"/>
      <c r="BB82" s="639">
        <f t="shared" si="20"/>
        <v>0</v>
      </c>
      <c r="BC82" s="563"/>
      <c r="BD82" s="560"/>
      <c r="BE82" s="564">
        <f t="shared" si="23"/>
        <v>0</v>
      </c>
      <c r="BF82" s="553"/>
      <c r="BG82" s="554"/>
      <c r="BH82" s="570"/>
      <c r="BI82" s="566"/>
      <c r="BJ82" s="567"/>
      <c r="BK82" s="571"/>
      <c r="BL82" s="548"/>
      <c r="BM82" s="548">
        <v>1</v>
      </c>
      <c r="BN82" s="548"/>
      <c r="BO82" s="571"/>
      <c r="BP82" s="571"/>
      <c r="BQ82" s="553"/>
      <c r="BR82" s="532"/>
      <c r="BS82" s="554"/>
      <c r="BT82" s="532"/>
      <c r="BU82" s="532"/>
      <c r="BV82" s="553"/>
      <c r="BW82" s="532"/>
      <c r="BX82" s="554"/>
      <c r="BY82" s="553"/>
      <c r="BZ82" s="554"/>
      <c r="CA82" s="575"/>
      <c r="CB82" s="532"/>
      <c r="CC82" s="532"/>
      <c r="CD82" s="532"/>
      <c r="CE82" s="532"/>
      <c r="CF82" s="532"/>
      <c r="CG82" s="532"/>
      <c r="CH82" s="560"/>
      <c r="CI82" s="560"/>
      <c r="CJ82" s="560"/>
      <c r="CK82" s="564"/>
      <c r="CL82" s="532"/>
      <c r="CM82" s="1065"/>
      <c r="CN82" s="532"/>
      <c r="CO82" s="570"/>
      <c r="CP82" s="570"/>
      <c r="CQ82" s="570"/>
      <c r="CR82" s="406">
        <f t="shared" si="28"/>
        <v>0</v>
      </c>
      <c r="CS82" s="409">
        <f t="shared" si="29"/>
        <v>0</v>
      </c>
      <c r="CT82" s="409">
        <f t="shared" si="30"/>
        <v>0</v>
      </c>
      <c r="CU82" s="409">
        <f t="shared" si="31"/>
        <v>0</v>
      </c>
      <c r="CV82" s="409">
        <f t="shared" si="32"/>
        <v>0</v>
      </c>
      <c r="CW82" s="409">
        <f t="shared" si="64"/>
        <v>0</v>
      </c>
      <c r="CX82" s="409">
        <f t="shared" si="65"/>
        <v>0</v>
      </c>
      <c r="CY82" s="409">
        <f t="shared" si="66"/>
        <v>0</v>
      </c>
      <c r="CZ82" s="409">
        <f t="shared" si="67"/>
        <v>0</v>
      </c>
      <c r="DA82" s="409">
        <f t="shared" si="68"/>
        <v>0</v>
      </c>
      <c r="DB82" s="409"/>
      <c r="DC82" s="409">
        <f t="shared" si="69"/>
        <v>0</v>
      </c>
      <c r="DD82" s="409">
        <f t="shared" si="70"/>
        <v>0</v>
      </c>
      <c r="DE82" s="409">
        <f t="shared" si="71"/>
        <v>0</v>
      </c>
      <c r="DF82" s="409">
        <f t="shared" si="72"/>
        <v>0</v>
      </c>
      <c r="DG82" s="409">
        <f t="shared" si="73"/>
        <v>0</v>
      </c>
      <c r="DH82" s="409">
        <f t="shared" si="74"/>
        <v>55</v>
      </c>
      <c r="DI82" s="409">
        <f t="shared" si="75"/>
        <v>0</v>
      </c>
      <c r="DJ82" s="532"/>
      <c r="DK82" s="560">
        <f t="shared" si="76"/>
        <v>0</v>
      </c>
      <c r="DL82" s="1044"/>
      <c r="DM82" s="570"/>
      <c r="DN82" s="570"/>
      <c r="DO82" s="1044"/>
      <c r="DP82" s="570"/>
      <c r="DQ82" s="570"/>
      <c r="DR82" s="570"/>
      <c r="DS82" s="570"/>
      <c r="DT82" s="566">
        <f t="shared" si="77"/>
        <v>0</v>
      </c>
      <c r="DU82" s="566">
        <v>0</v>
      </c>
      <c r="DV82" s="566">
        <f t="shared" si="34"/>
        <v>0</v>
      </c>
      <c r="DW82" s="566">
        <f t="shared" si="35"/>
        <v>0</v>
      </c>
      <c r="DX82" s="566">
        <f t="shared" si="36"/>
        <v>0</v>
      </c>
      <c r="DY82" s="1268">
        <f t="shared" si="78"/>
        <v>0</v>
      </c>
      <c r="DZ82" s="1063">
        <f t="shared" si="79"/>
        <v>0</v>
      </c>
      <c r="EA82" s="1268">
        <f t="shared" si="80"/>
        <v>0</v>
      </c>
      <c r="EB82" s="1063">
        <f t="shared" si="81"/>
        <v>0</v>
      </c>
      <c r="EC82" s="1063">
        <f t="shared" si="37"/>
        <v>0</v>
      </c>
      <c r="ED82" s="406">
        <f t="shared" si="38"/>
        <v>0</v>
      </c>
      <c r="EE82" s="1063">
        <f t="shared" si="82"/>
        <v>0</v>
      </c>
      <c r="EF82" s="406" t="e">
        <f t="shared" si="39"/>
        <v>#DIV/0!</v>
      </c>
      <c r="EG82" s="406">
        <f t="shared" si="40"/>
        <v>0</v>
      </c>
      <c r="EH82" s="458" t="e">
        <f t="shared" si="90"/>
        <v>#DIV/0!</v>
      </c>
      <c r="EI82" s="458" t="e">
        <f t="shared" si="91"/>
        <v>#DIV/0!</v>
      </c>
      <c r="EJ82" s="458" t="e">
        <f t="shared" si="83"/>
        <v>#DIV/0!</v>
      </c>
      <c r="EK82" s="406">
        <f t="shared" si="84"/>
        <v>0</v>
      </c>
      <c r="EL82" s="406">
        <f t="shared" si="85"/>
        <v>0</v>
      </c>
      <c r="EM82" s="521">
        <f t="shared" si="86"/>
        <v>0</v>
      </c>
      <c r="EN82" s="678">
        <f t="shared" si="87"/>
        <v>0</v>
      </c>
      <c r="EO82" s="678">
        <f t="shared" si="88"/>
        <v>0</v>
      </c>
    </row>
    <row r="83" spans="1:151" ht="18" customHeight="1" x14ac:dyDescent="0.2">
      <c r="A83" s="2058" t="str">
        <f>+'Abweichende Werte'!$AD7</f>
        <v xml:space="preserve"> -- - </v>
      </c>
      <c r="B83" s="2059"/>
      <c r="C83" s="2059"/>
      <c r="D83" s="2059"/>
      <c r="E83" s="442"/>
      <c r="F83" s="520"/>
      <c r="G83" s="351"/>
      <c r="H83" s="442"/>
      <c r="I83" s="453"/>
      <c r="J83" s="692" t="str">
        <f t="shared" ref="J83:K87" si="92">IF(U83+W83=0," ",(U83+W83)/2)</f>
        <v xml:space="preserve"> </v>
      </c>
      <c r="K83" s="1959" t="str">
        <f t="shared" si="92"/>
        <v xml:space="preserve"> </v>
      </c>
      <c r="L83" s="1960"/>
      <c r="M83" s="1270"/>
      <c r="N83" s="20"/>
      <c r="O83" s="20"/>
      <c r="P83" s="532">
        <f>IF(E83+F83&gt;=1,IF(BK83=1,1,0),0)</f>
        <v>0</v>
      </c>
      <c r="Q83" s="560" t="str">
        <f>IF(K83=" "," ",(K83*(1/CA83)))</f>
        <v xml:space="preserve"> </v>
      </c>
      <c r="R83" s="560" t="str">
        <f t="shared" si="3"/>
        <v xml:space="preserve"> </v>
      </c>
      <c r="S83" s="560">
        <f t="shared" si="42"/>
        <v>0</v>
      </c>
      <c r="T83" s="1271">
        <f t="shared" si="43"/>
        <v>0</v>
      </c>
      <c r="U83" s="560">
        <f>IF(CM83=FALSE,0,IF(Z83+AA83=0,0,IF(AZ83*BT83+BA83*BF83=0,0,AZ83*BT83+BA83*BF83)))</f>
        <v>0</v>
      </c>
      <c r="V83" s="560">
        <f>IF(CM83=FALSE,0,IF(AA83=0,0,IF(BD83+BA83=0,0,IF(BK83=4,BA83*BG83-(E83*(1-H83/100)*BG83)*((1220/1000)/(2*11)),BA83*BG83))))</f>
        <v>0</v>
      </c>
      <c r="W83" s="560">
        <f>IF(CM83=FALSE,0,IF(Z83+AA83=0,0,IF(BC83*BT83+BD83*BF83=0,0,BC83*BT83+BD83*BF83)))</f>
        <v>0</v>
      </c>
      <c r="X83" s="560">
        <f>IF(CM83=FALSE,0,IF(AA83=0,0,IF(BD83+BA83=0,0,IF(BK83=4,BD83*BG83-(E83*(1-I83/100)*BG83)*((1220/1000)/(2*11)),BD83*BG83))))</f>
        <v>0</v>
      </c>
      <c r="Y83" s="560" t="str">
        <f>IF(X83=0," ",(X83*(1/CA83)))</f>
        <v xml:space="preserve"> </v>
      </c>
      <c r="Z83" s="561">
        <f>IF(BT83=0,0,E83)</f>
        <v>0</v>
      </c>
      <c r="AA83" s="1321">
        <f>IF(BT83=0,E83+F83,F83)</f>
        <v>0</v>
      </c>
      <c r="AB83" s="1271">
        <f t="shared" si="44"/>
        <v>0</v>
      </c>
      <c r="AC83" s="1271">
        <f t="shared" si="45"/>
        <v>0</v>
      </c>
      <c r="AD83" s="1271">
        <f t="shared" si="46"/>
        <v>0</v>
      </c>
      <c r="AE83" s="1271">
        <f t="shared" si="47"/>
        <v>0</v>
      </c>
      <c r="AF83" s="563">
        <f>+(BC83*BQ83*(100-BY83)/100)+(BF83*BH83*BD83)</f>
        <v>0</v>
      </c>
      <c r="AG83" s="560">
        <f>IF(BK83=2,AF83,0)</f>
        <v>0</v>
      </c>
      <c r="AH83" s="560">
        <f>BC83*BR83+BD83*BF83*BI83</f>
        <v>0</v>
      </c>
      <c r="AI83" s="564">
        <f>BC83*BS83+BD83*BF83*BJ83</f>
        <v>0</v>
      </c>
      <c r="AJ83" s="566">
        <f>'Abweichende Werte'!$L7</f>
        <v>0</v>
      </c>
      <c r="AK83" s="566">
        <f>'Abweichende Werte'!$M7</f>
        <v>0</v>
      </c>
      <c r="AL83" s="560">
        <f t="shared" si="48"/>
        <v>0</v>
      </c>
      <c r="AM83" s="560">
        <f t="shared" si="49"/>
        <v>0</v>
      </c>
      <c r="AN83" s="560">
        <f t="shared" si="50"/>
        <v>0</v>
      </c>
      <c r="AO83" s="563">
        <f>+(BD83*BQ83*(100-BZ83)/100)-BF83*BD83*BH83</f>
        <v>0</v>
      </c>
      <c r="AP83" s="560">
        <f>BD83*BR83-BD83*BF83*BI83</f>
        <v>0</v>
      </c>
      <c r="AQ83" s="564">
        <f>BD83*BS83-BD83*BF83*BJ83</f>
        <v>0</v>
      </c>
      <c r="AR83" s="566">
        <f>'Abweichende Werte'!$N7</f>
        <v>0</v>
      </c>
      <c r="AS83" s="566">
        <f t="shared" si="51"/>
        <v>0</v>
      </c>
      <c r="AT83" s="566">
        <f t="shared" si="52"/>
        <v>0</v>
      </c>
      <c r="AU83" s="566">
        <f t="shared" si="53"/>
        <v>0</v>
      </c>
      <c r="AV83" s="563">
        <f t="shared" si="54"/>
        <v>0</v>
      </c>
      <c r="AW83" s="560">
        <f t="shared" si="55"/>
        <v>0</v>
      </c>
      <c r="AX83" s="564">
        <f t="shared" si="56"/>
        <v>0</v>
      </c>
      <c r="AY83" s="560"/>
      <c r="AZ83" s="570">
        <f t="shared" ref="AZ83:BA87" si="93">+Z83*(100-$H83)/100</f>
        <v>0</v>
      </c>
      <c r="BA83" s="566">
        <f t="shared" si="93"/>
        <v>0</v>
      </c>
      <c r="BB83" s="566">
        <f t="shared" si="20"/>
        <v>0</v>
      </c>
      <c r="BC83" s="563">
        <f t="shared" ref="BC83:BD87" si="94">+Z83*(100-$I83)/100</f>
        <v>0</v>
      </c>
      <c r="BD83" s="560">
        <f t="shared" si="94"/>
        <v>0</v>
      </c>
      <c r="BE83" s="564">
        <f t="shared" si="23"/>
        <v>0</v>
      </c>
      <c r="BF83" s="570">
        <f>IF(BM83=1,BU83,IF(BM83=2,BU83/2,0))</f>
        <v>0</v>
      </c>
      <c r="BG83" s="567">
        <f>IF(BM83=1,BV83,IF(BM83=2,BW83,BX83))</f>
        <v>0</v>
      </c>
      <c r="BH83" s="570">
        <f>IF(BK83=2,3.2,IF(BK83=3,3.3,0))</f>
        <v>0</v>
      </c>
      <c r="BI83" s="570">
        <f>IF(BK83=2,0,IF(BK83=3,0,0))</f>
        <v>0</v>
      </c>
      <c r="BJ83" s="570">
        <f>IF(BK83=2,7.9,IF(BK83=3,3.1,0))</f>
        <v>0</v>
      </c>
      <c r="BK83" s="571">
        <f>'Abweichende Werte'!$AB7</f>
        <v>1</v>
      </c>
      <c r="BL83" s="572">
        <f>+BK83</f>
        <v>1</v>
      </c>
      <c r="BM83" s="572">
        <v>1</v>
      </c>
      <c r="BN83" s="571">
        <f>'Abweichende Werte'!$C7</f>
        <v>0</v>
      </c>
      <c r="BO83" s="571" t="str">
        <f>IF(BN83&gt;0.001,BN83,"1")</f>
        <v>1</v>
      </c>
      <c r="BP83" s="570">
        <f>E83*BN83+F83*BN83</f>
        <v>0</v>
      </c>
      <c r="BQ83" s="570">
        <f>'Abweichende Werte'!$D7</f>
        <v>0</v>
      </c>
      <c r="BR83" s="566">
        <f>'Abweichende Werte'!$E7</f>
        <v>0</v>
      </c>
      <c r="BS83" s="567">
        <f>'Abweichende Werte'!$F7</f>
        <v>0</v>
      </c>
      <c r="BT83" s="570">
        <f>'Abweichende Werte'!$G7</f>
        <v>0</v>
      </c>
      <c r="BU83" s="567">
        <f>'Abweichende Werte'!$H7</f>
        <v>0</v>
      </c>
      <c r="BV83" s="566">
        <f>'Abweichende Werte'!$I7</f>
        <v>0</v>
      </c>
      <c r="BW83" s="566">
        <f>'Abweichende Werte'!$J7</f>
        <v>0</v>
      </c>
      <c r="BX83" s="566">
        <f>'Abweichende Werte'!$K7</f>
        <v>0</v>
      </c>
      <c r="BY83" s="570">
        <f>IF(BK83=2,15,IF(BK83=3,20,IF(BK83=4,40,IF(BK83=5,45,0))))</f>
        <v>0</v>
      </c>
      <c r="BZ83" s="567">
        <f>IF(BK83=2,30,IF(BK83=3,30,IF(BK83=4,40,IF(BK83=5,45,0))))</f>
        <v>0</v>
      </c>
      <c r="CA83" s="567">
        <f>'Abweichende Werte'!$R7</f>
        <v>0</v>
      </c>
      <c r="CB83" s="532">
        <f>'Abweichende Werte'!$O7</f>
        <v>0</v>
      </c>
      <c r="CC83" s="548">
        <f>'Abweichende Werte'!$P7</f>
        <v>0</v>
      </c>
      <c r="CD83" s="532">
        <f>'Abweichende Werte'!$Q7</f>
        <v>0</v>
      </c>
      <c r="CE83" s="553">
        <v>5</v>
      </c>
      <c r="CF83" s="548">
        <v>3</v>
      </c>
      <c r="CG83" s="554">
        <v>17</v>
      </c>
      <c r="CH83" s="560">
        <f>IF(BK83=1,0,IF(BK83=2,2,IF(BK83=3,2,5)))</f>
        <v>0</v>
      </c>
      <c r="CI83" s="560">
        <f>IF(R83=" ",0,CH83*R83)</f>
        <v>0</v>
      </c>
      <c r="CJ83" s="560">
        <f>(AZ83+BC83)/2*BT83</f>
        <v>0</v>
      </c>
      <c r="CK83" s="564">
        <f>(BA83+BD83)/2*BF83</f>
        <v>0</v>
      </c>
      <c r="CL83" s="532"/>
      <c r="CM83" s="1065" t="b">
        <f>AND(BL83&gt;1)</f>
        <v>0</v>
      </c>
      <c r="CN83" s="532"/>
      <c r="CO83" s="570">
        <f>INDEX(Tiere!F$83:F$87,'Berechnung Nährstoffe und Lager'!$BK83)</f>
        <v>0</v>
      </c>
      <c r="CP83" s="570">
        <f>INDEX(Tiere!G$83:G$87,'Berechnung Nährstoffe und Lager'!$BK83)</f>
        <v>0</v>
      </c>
      <c r="CQ83" s="570">
        <f>INDEX(Tiere!H$83:H$87,'Berechnung Nährstoffe und Lager'!$BK83)</f>
        <v>0</v>
      </c>
      <c r="CR83" s="458">
        <f t="shared" si="28"/>
        <v>0</v>
      </c>
      <c r="CS83" s="409">
        <f t="shared" si="29"/>
        <v>0</v>
      </c>
      <c r="CT83" s="409">
        <f t="shared" si="30"/>
        <v>0</v>
      </c>
      <c r="CU83" s="409">
        <f t="shared" si="31"/>
        <v>0</v>
      </c>
      <c r="CV83" s="409">
        <f t="shared" si="32"/>
        <v>0</v>
      </c>
      <c r="CW83" s="409">
        <f t="shared" si="64"/>
        <v>0</v>
      </c>
      <c r="CX83" s="409">
        <f t="shared" si="65"/>
        <v>0</v>
      </c>
      <c r="CY83" s="409">
        <f t="shared" si="66"/>
        <v>0</v>
      </c>
      <c r="CZ83" s="409">
        <f t="shared" si="67"/>
        <v>0</v>
      </c>
      <c r="DA83" s="409">
        <f t="shared" si="68"/>
        <v>0</v>
      </c>
      <c r="DB83" s="409"/>
      <c r="DC83" s="409">
        <f t="shared" si="69"/>
        <v>0</v>
      </c>
      <c r="DD83" s="409">
        <f t="shared" si="70"/>
        <v>0</v>
      </c>
      <c r="DE83" s="409">
        <f t="shared" si="71"/>
        <v>0</v>
      </c>
      <c r="DF83" s="409">
        <f t="shared" si="72"/>
        <v>0</v>
      </c>
      <c r="DG83" s="409">
        <f t="shared" si="73"/>
        <v>0</v>
      </c>
      <c r="DH83" s="409">
        <f t="shared" si="74"/>
        <v>55</v>
      </c>
      <c r="DI83" s="409">
        <f t="shared" si="75"/>
        <v>0</v>
      </c>
      <c r="DJ83" s="532" t="b">
        <v>0</v>
      </c>
      <c r="DK83" s="560">
        <f t="shared" si="76"/>
        <v>0</v>
      </c>
      <c r="DL83" s="1044">
        <f>+'Abweichende Werte'!$S7/100</f>
        <v>0</v>
      </c>
      <c r="DM83" s="570">
        <f>+'Abweichende Werte'!$T7</f>
        <v>0</v>
      </c>
      <c r="DN83" s="570">
        <f>+'Abweichende Werte'!$U7</f>
        <v>0</v>
      </c>
      <c r="DO83" s="1044">
        <f>+'Abweichende Werte'!$V7/100</f>
        <v>0</v>
      </c>
      <c r="DP83" s="570">
        <f>+'Abweichende Werte'!$W7</f>
        <v>0</v>
      </c>
      <c r="DQ83" s="570">
        <f>+'Abweichende Werte'!$X7</f>
        <v>0</v>
      </c>
      <c r="DR83" s="570">
        <f>+'Abweichende Werte'!$AE7</f>
        <v>0</v>
      </c>
      <c r="DS83" s="570">
        <f>+'Abweichende Werte'!$AF7</f>
        <v>0</v>
      </c>
      <c r="DT83" s="566">
        <f t="shared" si="77"/>
        <v>0</v>
      </c>
      <c r="DU83" s="566">
        <f>IF(J83=" ",0,(CJ83*AJ83+CK83*AK83)/(CJ83+CK83))</f>
        <v>0</v>
      </c>
      <c r="DV83" s="566">
        <f t="shared" si="34"/>
        <v>0</v>
      </c>
      <c r="DW83" s="566">
        <f t="shared" si="35"/>
        <v>0</v>
      </c>
      <c r="DX83" s="566">
        <f t="shared" si="36"/>
        <v>0</v>
      </c>
      <c r="DY83" s="1268">
        <f>IF(DJ83=TRUE,(DV83*DU83/100*DL83*DM83)/1000,0)</f>
        <v>0</v>
      </c>
      <c r="DZ83" s="1322">
        <f t="shared" si="79"/>
        <v>0</v>
      </c>
      <c r="EA83" s="1268">
        <f>IF(DJ83=TRUE,((V83+X83)/2*AR83/100*DO83*DP83)/1000,0)</f>
        <v>0</v>
      </c>
      <c r="EB83" s="1322">
        <f t="shared" si="81"/>
        <v>0</v>
      </c>
      <c r="EC83" s="1322">
        <f t="shared" si="37"/>
        <v>0</v>
      </c>
      <c r="ED83" s="458">
        <f t="shared" si="38"/>
        <v>0</v>
      </c>
      <c r="EE83" s="1322">
        <f t="shared" si="82"/>
        <v>0</v>
      </c>
      <c r="EF83" s="458" t="e">
        <f t="shared" si="39"/>
        <v>#DIV/0!</v>
      </c>
      <c r="EG83" s="458">
        <f t="shared" si="40"/>
        <v>0</v>
      </c>
      <c r="EH83" s="458" t="e">
        <f t="shared" si="90"/>
        <v>#DIV/0!</v>
      </c>
      <c r="EI83" s="458" t="e">
        <f t="shared" si="91"/>
        <v>#DIV/0!</v>
      </c>
      <c r="EJ83" s="458" t="e">
        <f t="shared" si="83"/>
        <v>#DIV/0!</v>
      </c>
      <c r="EK83" s="458">
        <f t="shared" si="84"/>
        <v>0</v>
      </c>
      <c r="EL83" s="458">
        <f t="shared" si="85"/>
        <v>0</v>
      </c>
      <c r="EM83" s="522">
        <f t="shared" si="86"/>
        <v>0</v>
      </c>
      <c r="EN83" s="676">
        <f t="shared" si="87"/>
        <v>0</v>
      </c>
      <c r="EO83" s="676">
        <f t="shared" si="88"/>
        <v>0</v>
      </c>
      <c r="EP83" s="458"/>
      <c r="EQ83" s="458"/>
      <c r="ER83" s="458"/>
      <c r="ES83" s="458"/>
      <c r="ET83" s="458"/>
      <c r="EU83" s="458"/>
    </row>
    <row r="84" spans="1:151" ht="18" customHeight="1" x14ac:dyDescent="0.2">
      <c r="A84" s="2058" t="str">
        <f>+'Abweichende Werte'!$AD8</f>
        <v xml:space="preserve"> -- - </v>
      </c>
      <c r="B84" s="2059"/>
      <c r="C84" s="2059"/>
      <c r="D84" s="2103"/>
      <c r="E84" s="442"/>
      <c r="F84" s="520"/>
      <c r="G84" s="351"/>
      <c r="H84" s="442"/>
      <c r="I84" s="453"/>
      <c r="J84" s="693" t="str">
        <f t="shared" si="92"/>
        <v xml:space="preserve"> </v>
      </c>
      <c r="K84" s="1936" t="str">
        <f t="shared" si="92"/>
        <v xml:space="preserve"> </v>
      </c>
      <c r="L84" s="1937"/>
      <c r="M84" s="1269"/>
      <c r="N84" s="20"/>
      <c r="O84" s="20"/>
      <c r="P84" s="532">
        <f>IF(E84+F84&gt;=1,IF(BK84=1,1,0),0)</f>
        <v>0</v>
      </c>
      <c r="Q84" s="560" t="str">
        <f>IF(K84=" "," ",(K84*(1/CA84)))</f>
        <v xml:space="preserve"> </v>
      </c>
      <c r="R84" s="560" t="str">
        <f>IF(DK84=1,0,Y84)</f>
        <v xml:space="preserve"> </v>
      </c>
      <c r="S84" s="560">
        <f>IF(DK84=1,0,W84)</f>
        <v>0</v>
      </c>
      <c r="T84" s="641">
        <f>IF(DK84=1,0,U84)</f>
        <v>0</v>
      </c>
      <c r="U84" s="560">
        <f>IF(CM84=FALSE,0,IF(Z84+AA84=0,0,IF(AZ84*BT84+BA84*BF84=0,0,AZ84*BT84+BA84*BF84)))</f>
        <v>0</v>
      </c>
      <c r="V84" s="560">
        <f>IF(CM84=FALSE,0,IF(AA84=0,0,IF(BD84+BA84=0,0,IF(BK84=4,BA84*BG84-(E84*(1-H84/100)*BG84)*((1220/1000)/(2*11)),BA84*BG84))))</f>
        <v>0</v>
      </c>
      <c r="W84" s="560">
        <f>IF(CM84=FALSE,0,IF(Z84+AA84=0,0,IF(BC84*BT84+BD84*BF84=0,0,BC84*BT84+BD84*BF84)))</f>
        <v>0</v>
      </c>
      <c r="X84" s="560">
        <f>IF(CM84=FALSE,0,IF(AA84=0,0,IF(BD84+BA84=0,0,IF(BK84=4,BD84*BG84-(E84*(1-I84/100)*BG84)*((1220/1000)/(2*11)),BD84*BG84))))</f>
        <v>0</v>
      </c>
      <c r="Y84" s="560" t="str">
        <f>IF(X84=0," ",(X84*(1/CA84)))</f>
        <v xml:space="preserve"> </v>
      </c>
      <c r="Z84" s="561">
        <f>IF(BT84=0,0,E84)</f>
        <v>0</v>
      </c>
      <c r="AA84" s="562">
        <f>IF(BT84=0,E84+F84,F84)</f>
        <v>0</v>
      </c>
      <c r="AB84" s="641">
        <f>+(AZ84*BQ84*(100-BY84)/100)+(BF84*BH84*BA84)</f>
        <v>0</v>
      </c>
      <c r="AC84" s="641">
        <f>IF(BK84=2,AB84,0)</f>
        <v>0</v>
      </c>
      <c r="AD84" s="641">
        <f>AZ84*BR84+BA84*BF84*BI84</f>
        <v>0</v>
      </c>
      <c r="AE84" s="641">
        <f>AZ84*BS84+BA84*BF84*BJ84</f>
        <v>0</v>
      </c>
      <c r="AF84" s="563">
        <f>+(BC84*BQ84*(100-BY84)/100)+(BF84*BH84*BD84)</f>
        <v>0</v>
      </c>
      <c r="AG84" s="560">
        <f>IF(BK84=2,AF84,0)</f>
        <v>0</v>
      </c>
      <c r="AH84" s="560">
        <f>BC84*BR84+BD84*BF84*BI84</f>
        <v>0</v>
      </c>
      <c r="AI84" s="564">
        <f>BC84*BS84+BD84*BF84*BJ84</f>
        <v>0</v>
      </c>
      <c r="AJ84" s="1312">
        <f>'Abweichende Werte'!$L8</f>
        <v>0</v>
      </c>
      <c r="AK84" s="1312">
        <f>'Abweichende Werte'!$M8</f>
        <v>0</v>
      </c>
      <c r="AL84" s="560">
        <f>+(BA84*BQ84*(100-BZ84)/100)-BF84*BA84*BH84</f>
        <v>0</v>
      </c>
      <c r="AM84" s="560">
        <f>BA84*BR84-BA84*BF84*BI84</f>
        <v>0</v>
      </c>
      <c r="AN84" s="560">
        <f>BA84*BS84-BA84*BF84*BJ84</f>
        <v>0</v>
      </c>
      <c r="AO84" s="563">
        <f>+(BD84*BQ84*(100-BZ84)/100)-BF84*BD84*BH84</f>
        <v>0</v>
      </c>
      <c r="AP84" s="560">
        <f>BD84*BR84-BD84*BF84*BI84</f>
        <v>0</v>
      </c>
      <c r="AQ84" s="564">
        <f>BD84*BS84-BD84*BF84*BJ84</f>
        <v>0</v>
      </c>
      <c r="AR84" s="1312">
        <f>'Abweichende Werte'!$N8</f>
        <v>0</v>
      </c>
      <c r="AS84" s="566">
        <f>IF(BM84=1,BB84*CB84*BO84*365/1000*CE84,IF(BM84=2,BB84*CC84*BO84*365/1000*CE84,BB84*CD84*BO84*365/1000*CE84))</f>
        <v>0</v>
      </c>
      <c r="AT84" s="566">
        <f>IF(BM84=1,BB84*CB84*BO84*365/1000*CF84,IF(BM84=2,BB84*CC84*BO84*365/1000*CF84,BB84*CD84*BO84*365/1000*CF84))</f>
        <v>0</v>
      </c>
      <c r="AU84" s="566">
        <f>IF(BM84=1,BB84*CB84*BO84*365/1000*CG84,IF(BM84=2,BB84*CC84*BO84*365/1000*CG84,BB84*CD84*BO84*365/1000*CG84))</f>
        <v>0</v>
      </c>
      <c r="AV84" s="563">
        <f>IF(BM84=1,BE84*CB84*BO84*365/1000*CE84,IF(BM84=2,BE84*CC84*BO84*365/1000*CE84,BE84*CD84*BO84*365/1000*CE84))</f>
        <v>0</v>
      </c>
      <c r="AW84" s="560">
        <f>IF(BM84=1,BE84*CB84*BO84*365/1000*CF84,IF(BM84=2,BE84*CC84*BO84*365/1000*CF84,BE84*CD84*BO84*365/1000*CF84))</f>
        <v>0</v>
      </c>
      <c r="AX84" s="564">
        <f>IF(BM84=1,BE84*CB84*BO84*365/1000*CG84,IF(BM84=2,BE84*CC84*BO84*365/1000*CG84,BE84*CD84*BO84*365/1000*CG84))</f>
        <v>0</v>
      </c>
      <c r="AY84" s="560"/>
      <c r="AZ84" s="638">
        <f>+Z84*(100-$H84)/100</f>
        <v>0</v>
      </c>
      <c r="BA84" s="639">
        <f>+AA84*(100-$H84)/100</f>
        <v>0</v>
      </c>
      <c r="BB84" s="639">
        <f>+F84*(100-$H84)/100</f>
        <v>0</v>
      </c>
      <c r="BC84" s="563">
        <f>+Z84*(100-$I84)/100</f>
        <v>0</v>
      </c>
      <c r="BD84" s="560">
        <f>+AA84*(100-$I84)/100</f>
        <v>0</v>
      </c>
      <c r="BE84" s="564">
        <f>+F84*(100-$I84)/100</f>
        <v>0</v>
      </c>
      <c r="BF84" s="570">
        <f>IF(BM84=1,BU84,IF(BM84=2,BU84/2,0))</f>
        <v>0</v>
      </c>
      <c r="BG84" s="567">
        <f>IF(BM84=1,BV84,IF(BM84=2,BW84,BX84))</f>
        <v>0</v>
      </c>
      <c r="BH84" s="570">
        <f>IF(BK84=2,3.2,IF(BK84=3,3.3,0))</f>
        <v>0</v>
      </c>
      <c r="BI84" s="570">
        <f>IF(BK84=2,0,IF(BK84=3,0,0))</f>
        <v>0</v>
      </c>
      <c r="BJ84" s="570">
        <f>IF(BK84=2,7.9,IF(BK84=3,3.1,0))</f>
        <v>0</v>
      </c>
      <c r="BK84" s="1315">
        <f>'Abweichende Werte'!$AB8</f>
        <v>1</v>
      </c>
      <c r="BL84" s="572">
        <f>+BK84</f>
        <v>1</v>
      </c>
      <c r="BM84" s="572">
        <v>1</v>
      </c>
      <c r="BN84" s="1315">
        <f>'Abweichende Werte'!$C8</f>
        <v>0</v>
      </c>
      <c r="BO84" s="571" t="str">
        <f>IF(BN84&gt;0.001,BN84,"1")</f>
        <v>1</v>
      </c>
      <c r="BP84" s="570">
        <f>E84*BN84+F84*BN84</f>
        <v>0</v>
      </c>
      <c r="BQ84" s="1314">
        <f>'Abweichende Werte'!$D8</f>
        <v>0</v>
      </c>
      <c r="BR84" s="1312">
        <f>'Abweichende Werte'!$E8</f>
        <v>0</v>
      </c>
      <c r="BS84" s="573">
        <f>'Abweichende Werte'!$F8</f>
        <v>0</v>
      </c>
      <c r="BT84" s="1314">
        <f>'Abweichende Werte'!$G8</f>
        <v>0</v>
      </c>
      <c r="BU84" s="573">
        <f>'Abweichende Werte'!$H8</f>
        <v>0</v>
      </c>
      <c r="BV84" s="1312">
        <f>'Abweichende Werte'!$I8</f>
        <v>0</v>
      </c>
      <c r="BW84" s="1312">
        <f>'Abweichende Werte'!$J8</f>
        <v>0</v>
      </c>
      <c r="BX84" s="1312">
        <f>'Abweichende Werte'!$K8</f>
        <v>0</v>
      </c>
      <c r="BY84" s="570">
        <f>IF(BK84=2,15,IF(BK84=3,20,IF(BK84=4,40,IF(BK84=5,45,0))))</f>
        <v>0</v>
      </c>
      <c r="BZ84" s="567">
        <f>IF(BK84=2,30,IF(BK84=3,30,IF(BK84=4,40,IF(BK84=5,45,0))))</f>
        <v>0</v>
      </c>
      <c r="CA84" s="573">
        <f>'Abweichende Werte'!$R8</f>
        <v>0</v>
      </c>
      <c r="CB84" s="575">
        <f>'Abweichende Werte'!$O8</f>
        <v>0</v>
      </c>
      <c r="CC84" s="1316">
        <f>'Abweichende Werte'!$P8</f>
        <v>0</v>
      </c>
      <c r="CD84" s="575">
        <f>'Abweichende Werte'!$Q8</f>
        <v>0</v>
      </c>
      <c r="CE84" s="553">
        <v>5</v>
      </c>
      <c r="CF84" s="548">
        <v>3</v>
      </c>
      <c r="CG84" s="554">
        <v>17</v>
      </c>
      <c r="CH84" s="560">
        <f>IF(BK84=1,0,IF(BK84=2,2,IF(BK84=3,2,5)))</f>
        <v>0</v>
      </c>
      <c r="CI84" s="560">
        <f>IF(R84=" ",0,CH84*R84)</f>
        <v>0</v>
      </c>
      <c r="CJ84" s="560">
        <f>(AZ84+BC84)/2*BT84</f>
        <v>0</v>
      </c>
      <c r="CK84" s="564">
        <f>(BA84+BD84)/2*BF84</f>
        <v>0</v>
      </c>
      <c r="CL84" s="532"/>
      <c r="CM84" s="1065" t="b">
        <f>AND(BL84&gt;1)</f>
        <v>0</v>
      </c>
      <c r="CN84" s="532"/>
      <c r="CO84" s="570">
        <f>INDEX(Tiere!F$83:F$87,'Berechnung Nährstoffe und Lager'!$BK84)</f>
        <v>0</v>
      </c>
      <c r="CP84" s="570">
        <f>INDEX(Tiere!G$83:G$87,'Berechnung Nährstoffe und Lager'!$BK84)</f>
        <v>0</v>
      </c>
      <c r="CQ84" s="570">
        <f>INDEX(Tiere!H$83:H$87,'Berechnung Nährstoffe und Lager'!$BK84)</f>
        <v>0</v>
      </c>
      <c r="CR84" s="406">
        <f>+((((AZ84*BQ84*(100-BY84)/100)*(CO84/100))+((BF84*BH84*BA84)*(CP84/100)))+(((BC84*BQ84*(100-BY84)/100)*(CO84/100))+((BF84*BH84*BD84)*(CP84/100))))/2</f>
        <v>0</v>
      </c>
      <c r="CS84" s="409">
        <f>+((AL84+AS84+AO84+AV84)/2)/100*CQ84</f>
        <v>0</v>
      </c>
      <c r="CT84" s="409">
        <f>+($E84+$F84)*($H84+$I84)/2/100*BQ84*(100-BZ84)/100</f>
        <v>0</v>
      </c>
      <c r="CU84" s="409">
        <f>+($E84+$F84)*($H84+$I84)/2/100*BR84</f>
        <v>0</v>
      </c>
      <c r="CV84" s="409">
        <f>+($E84+$F84)*($H84+$I84)/2/100*BS84</f>
        <v>0</v>
      </c>
      <c r="CW84" s="409">
        <f>IF($DJ84=FALSE,(($E84*(100-BY84)/100*(100-($H84+$I84)/2)/100+$F84*(100-BZ84)/100*(100-($H84+$I84)/2)/100)*BQ84+(AS84+AV84)/2),0)</f>
        <v>0</v>
      </c>
      <c r="CX84" s="409">
        <f t="shared" si="65"/>
        <v>0</v>
      </c>
      <c r="CY84" s="409">
        <f t="shared" si="66"/>
        <v>0</v>
      </c>
      <c r="CZ84" s="409">
        <f>IF($DJ84=FALSE,(AF84+AB84)/2,0)</f>
        <v>0</v>
      </c>
      <c r="DA84" s="409">
        <f t="shared" si="68"/>
        <v>0</v>
      </c>
      <c r="DB84" s="409"/>
      <c r="DC84" s="409">
        <f>IF($DJ84=TRUE,(($E84*(100-BY84)/100*(100-($H84+$I84)/2)/100+$F84*(100-BZ84)/100*(100-($H84+$I84)/2)/100)*BQ84+(AS84+AV84)/2),0)</f>
        <v>0</v>
      </c>
      <c r="DD84" s="409">
        <f t="shared" si="70"/>
        <v>0</v>
      </c>
      <c r="DE84" s="409">
        <f t="shared" si="71"/>
        <v>0</v>
      </c>
      <c r="DF84" s="409">
        <f>IF($DJ84=TRUE,(AF84+AB84)/2,0)</f>
        <v>0</v>
      </c>
      <c r="DG84" s="409">
        <f>+DC84-DF84</f>
        <v>0</v>
      </c>
      <c r="DH84" s="409">
        <f>IF(BK84=2,60,IF(BK84=3,70,IF(BK84=4,70,55)))</f>
        <v>55</v>
      </c>
      <c r="DI84" s="409">
        <f>IF(BK84=4,70,IF(DC84=0,0,(DG84*55+DF84*DH84)/DC84))</f>
        <v>0</v>
      </c>
      <c r="DJ84" s="532" t="b">
        <v>0</v>
      </c>
      <c r="DK84" s="560">
        <f>IF(DJ84=TRUE,1,0)</f>
        <v>0</v>
      </c>
      <c r="DL84" s="1044">
        <f>+'Abweichende Werte'!$S8/100</f>
        <v>0</v>
      </c>
      <c r="DM84" s="1314">
        <f>+'Abweichende Werte'!$T8</f>
        <v>0</v>
      </c>
      <c r="DN84" s="1314">
        <f>+'Abweichende Werte'!$U8</f>
        <v>0</v>
      </c>
      <c r="DO84" s="1044">
        <f>+'Abweichende Werte'!$V8/100</f>
        <v>0</v>
      </c>
      <c r="DP84" s="1314">
        <f>+'Abweichende Werte'!$W8</f>
        <v>0</v>
      </c>
      <c r="DQ84" s="1314">
        <f>+'Abweichende Werte'!$X8</f>
        <v>0</v>
      </c>
      <c r="DR84" s="1314">
        <f>+'Abweichende Werte'!$AE8</f>
        <v>0</v>
      </c>
      <c r="DS84" s="1314">
        <f>+'Abweichende Werte'!$AF8</f>
        <v>0</v>
      </c>
      <c r="DT84" s="566">
        <f>IF(DJ84=TRUE,(DV84*DR84+DX84*DS84),0)</f>
        <v>0</v>
      </c>
      <c r="DU84" s="566">
        <f>IF(J84=" ",0,(CJ84*AJ84+CK84*AK84)/(CJ84+CK84))</f>
        <v>0</v>
      </c>
      <c r="DV84" s="566">
        <f>+(U84+W84)/2</f>
        <v>0</v>
      </c>
      <c r="DW84" s="566">
        <f>+AR84</f>
        <v>0</v>
      </c>
      <c r="DX84" s="566">
        <f>+(V84+X84)/2</f>
        <v>0</v>
      </c>
      <c r="DY84" s="1268">
        <f>IF(DJ84=TRUE,(DV84*DU84/100*DL84*DM84)/1000,0)</f>
        <v>0</v>
      </c>
      <c r="DZ84" s="1063">
        <f>+DY84*DN84/100</f>
        <v>0</v>
      </c>
      <c r="EA84" s="1268">
        <f>IF(DJ84=TRUE,((V84+X84)/2*AR84/100*DO84*DP84)/1000,0)</f>
        <v>0</v>
      </c>
      <c r="EB84" s="1063">
        <f>+EA84*DQ84/100</f>
        <v>0</v>
      </c>
      <c r="EC84" s="1063">
        <f>+((U84+W84)/2+(V84+X84)/2)*DK84</f>
        <v>0</v>
      </c>
      <c r="ED84" s="406">
        <f>+((U84+W84)/2*DU84/100+((V84+X84)/2)*AR84/100)*DK84</f>
        <v>0</v>
      </c>
      <c r="EE84" s="1063">
        <f>+EC84-ED84</f>
        <v>0</v>
      </c>
      <c r="EF84" s="406" t="e">
        <f>+ED84/EC84</f>
        <v>#DIV/0!</v>
      </c>
      <c r="EG84" s="406">
        <f>+((U84+W84)/2*DU84/100*DL84+((V84+X84)/2)*AR84/100*DO84)*DK84</f>
        <v>0</v>
      </c>
      <c r="EH84" s="406" t="e">
        <f>+((U84+W84)/2*DU84/100*DL84*DM84+((V84+X84)/2)*AR84/100*DO84*DP84)*DK84/EC84</f>
        <v>#DIV/0!</v>
      </c>
      <c r="EI84" s="406" t="e">
        <f>(DV84+DX84)*EH84*((DZ84+EB84)/(DY84+EA84))/22.26*0.01605</f>
        <v>#DIV/0!</v>
      </c>
      <c r="EJ84" s="458" t="e">
        <f t="shared" si="83"/>
        <v>#DIV/0!</v>
      </c>
      <c r="EK84" s="406">
        <f>IF(EC84=0,0,EI84+EJ84)</f>
        <v>0</v>
      </c>
      <c r="EL84" s="406">
        <f>+DM84/887*100</f>
        <v>0</v>
      </c>
      <c r="EM84" s="521">
        <f>15.44*EL84/100</f>
        <v>0</v>
      </c>
      <c r="EN84" s="678">
        <f>+EK84-EO84</f>
        <v>0</v>
      </c>
      <c r="EO84" s="678">
        <f>+EK84*EM84/100</f>
        <v>0</v>
      </c>
    </row>
    <row r="85" spans="1:151" ht="18" customHeight="1" x14ac:dyDescent="0.2">
      <c r="A85" s="2058" t="str">
        <f>+'Abweichende Werte'!$AD9</f>
        <v xml:space="preserve"> -- - </v>
      </c>
      <c r="B85" s="2059"/>
      <c r="C85" s="2059"/>
      <c r="D85" s="2103"/>
      <c r="E85" s="443"/>
      <c r="F85" s="455"/>
      <c r="G85" s="351"/>
      <c r="H85" s="443"/>
      <c r="I85" s="1122"/>
      <c r="J85" s="693" t="str">
        <f t="shared" si="92"/>
        <v xml:space="preserve"> </v>
      </c>
      <c r="K85" s="1931" t="str">
        <f t="shared" si="92"/>
        <v xml:space="preserve"> </v>
      </c>
      <c r="L85" s="1932"/>
      <c r="M85" s="1114"/>
      <c r="N85" s="20"/>
      <c r="O85" s="20"/>
      <c r="P85" s="566">
        <f>IF(E85+F85&gt;=1,IF(BK85=1,1,0),0)</f>
        <v>0</v>
      </c>
      <c r="Q85" s="560" t="str">
        <f>IF(K85=" "," ",(K85*(1/CA85)))</f>
        <v xml:space="preserve"> </v>
      </c>
      <c r="R85" s="560" t="str">
        <f>IF(DK85=1,0,Y85)</f>
        <v xml:space="preserve"> </v>
      </c>
      <c r="S85" s="560">
        <f>IF(DK85=1,0,W85)</f>
        <v>0</v>
      </c>
      <c r="T85" s="641">
        <f>IF(DK85=1,0,U85)</f>
        <v>0</v>
      </c>
      <c r="U85" s="560">
        <f>IF(CM85=FALSE,0,IF(Z85+AA85=0,0,IF(AZ85*BT85+BA85*BF85=0,0,AZ85*BT85+BA85*BF85)))</f>
        <v>0</v>
      </c>
      <c r="V85" s="560">
        <f>IF(CM85=FALSE,0,IF(AA85=0,0,IF(BD85+BA85=0,0,IF(BK85=4,BA85*BG85-(E85*(1-H85/100)*BG85)*((1220/1000)/(2*11)),BA85*BG85))))</f>
        <v>0</v>
      </c>
      <c r="W85" s="560">
        <f>IF(CM85=FALSE,0,IF(Z85+AA85=0,0,IF(BC85*BT85+BD85*BF85=0,0,BC85*BT85+BD85*BF85)))</f>
        <v>0</v>
      </c>
      <c r="X85" s="560">
        <f>IF(CM85=FALSE,0,IF(AA85=0,0,IF(BD85+BA85=0,0,IF(BK85=4,BD85*BG85-(E85*(1-I85/100)*BG85)*((1220/1000)/(2*11)),BD85*BG85))))</f>
        <v>0</v>
      </c>
      <c r="Y85" s="560" t="str">
        <f>IF(X85=0," ",(X85*(1/CA85)))</f>
        <v xml:space="preserve"> </v>
      </c>
      <c r="Z85" s="561">
        <f>IF(BT85=0,0,E85)</f>
        <v>0</v>
      </c>
      <c r="AA85" s="562">
        <f>IF(BT85=0,E85+F85,F85)</f>
        <v>0</v>
      </c>
      <c r="AB85" s="641">
        <f>+(AZ85*BQ85*(100-BY85)/100)+(BF85*BH85*BA85)</f>
        <v>0</v>
      </c>
      <c r="AC85" s="641">
        <f>IF(BK85=2,AB85,0)</f>
        <v>0</v>
      </c>
      <c r="AD85" s="641">
        <f>AZ85*BR85+BA85*BF85*BI85</f>
        <v>0</v>
      </c>
      <c r="AE85" s="641">
        <f>AZ85*BS85+BA85*BF85*BJ85</f>
        <v>0</v>
      </c>
      <c r="AF85" s="563">
        <f>+(BC85*BQ85*(100-BY85)/100)+(BF85*BH85*BD85)</f>
        <v>0</v>
      </c>
      <c r="AG85" s="560">
        <f>IF(BK85=2,AF85,0)</f>
        <v>0</v>
      </c>
      <c r="AH85" s="560">
        <f>BC85*BR85+BD85*BF85*BI85</f>
        <v>0</v>
      </c>
      <c r="AI85" s="564">
        <f>BC85*BS85+BD85*BF85*BJ85</f>
        <v>0</v>
      </c>
      <c r="AJ85" s="1312">
        <f>'Abweichende Werte'!$L9</f>
        <v>0</v>
      </c>
      <c r="AK85" s="1312">
        <f>'Abweichende Werte'!$M9</f>
        <v>0</v>
      </c>
      <c r="AL85" s="560">
        <f>+(BA85*BQ85*(100-BZ85)/100)-BF85*BA85*BH85</f>
        <v>0</v>
      </c>
      <c r="AM85" s="560">
        <f>BA85*BR85-BA85*BF85*BI85</f>
        <v>0</v>
      </c>
      <c r="AN85" s="560">
        <f>BA85*BS85-BA85*BF85*BJ85</f>
        <v>0</v>
      </c>
      <c r="AO85" s="563">
        <f>+(BD85*BQ85*(100-BZ85)/100)-BF85*BD85*BH85</f>
        <v>0</v>
      </c>
      <c r="AP85" s="560">
        <f>BD85*BR85-BD85*BF85*BI85</f>
        <v>0</v>
      </c>
      <c r="AQ85" s="564">
        <f>BD85*BS85-BD85*BF85*BJ85</f>
        <v>0</v>
      </c>
      <c r="AR85" s="1312">
        <f>'Abweichende Werte'!$N9</f>
        <v>0</v>
      </c>
      <c r="AS85" s="566">
        <f>IF(BM85=1,BB85*CB85*BO85*365/1000*CE85,IF(BM85=2,BB85*CC85*BO85*365/1000*CE85,BB85*CD85*BO85*365/1000*CE85))</f>
        <v>0</v>
      </c>
      <c r="AT85" s="566">
        <f>IF(BM85=1,BB85*CB85*BO85*365/1000*CF85,IF(BM85=2,BB85*CC85*BO85*365/1000*CF85,BB85*CD85*BO85*365/1000*CF85))</f>
        <v>0</v>
      </c>
      <c r="AU85" s="566">
        <f>IF(BM85=1,BB85*CB85*BO85*365/1000*CG85,IF(BM85=2,BB85*CC85*BO85*365/1000*CG85,BB85*CD85*BO85*365/1000*CG85))</f>
        <v>0</v>
      </c>
      <c r="AV85" s="563">
        <f>IF(BM85=1,BE85*CB85*BO85*365/1000*CE85,IF(BM85=2,BE85*CC85*BO85*365/1000*CE85,BE85*CD85*BO85*365/1000*CE85))</f>
        <v>0</v>
      </c>
      <c r="AW85" s="560">
        <f>IF(BM85=1,BE85*CB85*BO85*365/1000*CF85,IF(BM85=2,BE85*CC85*BO85*365/1000*CF85,BE85*CD85*BO85*365/1000*CF85))</f>
        <v>0</v>
      </c>
      <c r="AX85" s="564">
        <f>IF(BM85=1,BE85*CB85*BO85*365/1000*CG85,IF(BM85=2,BE85*CC85*BO85*365/1000*CG85,BE85*CD85*BO85*365/1000*CG85))</f>
        <v>0</v>
      </c>
      <c r="AY85" s="560"/>
      <c r="AZ85" s="638">
        <f>+Z85*(100-$H85)/100</f>
        <v>0</v>
      </c>
      <c r="BA85" s="639">
        <f>+AA85*(100-$H85)/100</f>
        <v>0</v>
      </c>
      <c r="BB85" s="639">
        <f>+F85*(100-$H85)/100</f>
        <v>0</v>
      </c>
      <c r="BC85" s="563">
        <f>+Z85*(100-$I85)/100</f>
        <v>0</v>
      </c>
      <c r="BD85" s="560">
        <f>+AA85*(100-$I85)/100</f>
        <v>0</v>
      </c>
      <c r="BE85" s="564">
        <f>+F85*(100-$I85)/100</f>
        <v>0</v>
      </c>
      <c r="BF85" s="570">
        <f>IF(BM85=1,BU85,IF(BM85=2,BU85/2,0))</f>
        <v>0</v>
      </c>
      <c r="BG85" s="567">
        <f>IF(BM85=1,BV85,IF(BM85=2,BW85,BX85))</f>
        <v>0</v>
      </c>
      <c r="BH85" s="570">
        <f>IF(BK85=2,3.2,IF(BK85=3,3.3,0))</f>
        <v>0</v>
      </c>
      <c r="BI85" s="570">
        <f>IF(BK85=2,0,IF(BK85=3,0,0))</f>
        <v>0</v>
      </c>
      <c r="BJ85" s="570">
        <f>IF(BK85=2,7.9,IF(BK85=3,3.1,0))</f>
        <v>0</v>
      </c>
      <c r="BK85" s="1315">
        <f>'Abweichende Werte'!$AB9</f>
        <v>1</v>
      </c>
      <c r="BL85" s="572">
        <f>+BK85</f>
        <v>1</v>
      </c>
      <c r="BM85" s="572">
        <v>1</v>
      </c>
      <c r="BN85" s="1315">
        <f>'Abweichende Werte'!$C9</f>
        <v>0</v>
      </c>
      <c r="BO85" s="571" t="str">
        <f>IF(BN85&gt;0.001,BN85,"1")</f>
        <v>1</v>
      </c>
      <c r="BP85" s="570">
        <f>E85*BN85+F85*BN85</f>
        <v>0</v>
      </c>
      <c r="BQ85" s="1314">
        <f>'Abweichende Werte'!$D9</f>
        <v>0</v>
      </c>
      <c r="BR85" s="1312">
        <f>'Abweichende Werte'!$E9</f>
        <v>0</v>
      </c>
      <c r="BS85" s="573">
        <f>'Abweichende Werte'!$F9</f>
        <v>0</v>
      </c>
      <c r="BT85" s="1314">
        <f>'Abweichende Werte'!$G9</f>
        <v>0</v>
      </c>
      <c r="BU85" s="573">
        <f>'Abweichende Werte'!$H9</f>
        <v>0</v>
      </c>
      <c r="BV85" s="1312">
        <f>'Abweichende Werte'!$I9</f>
        <v>0</v>
      </c>
      <c r="BW85" s="1312">
        <f>'Abweichende Werte'!$J9</f>
        <v>0</v>
      </c>
      <c r="BX85" s="1312">
        <f>'Abweichende Werte'!$K9</f>
        <v>0</v>
      </c>
      <c r="BY85" s="570">
        <f>IF(BK85=2,15,IF(BK85=3,20,IF(BK85=4,40,IF(BK85=5,45,0))))</f>
        <v>0</v>
      </c>
      <c r="BZ85" s="567">
        <f>IF(BK85=2,30,IF(BK85=3,30,IF(BK85=4,40,IF(BK85=5,45,0))))</f>
        <v>0</v>
      </c>
      <c r="CA85" s="573">
        <f>'Abweichende Werte'!$R9</f>
        <v>0</v>
      </c>
      <c r="CB85" s="575">
        <f>'Abweichende Werte'!$O9</f>
        <v>0</v>
      </c>
      <c r="CC85" s="1316">
        <f>'Abweichende Werte'!$P9</f>
        <v>0</v>
      </c>
      <c r="CD85" s="575">
        <f>'Abweichende Werte'!$Q9</f>
        <v>0</v>
      </c>
      <c r="CE85" s="553">
        <v>5</v>
      </c>
      <c r="CF85" s="548">
        <v>3</v>
      </c>
      <c r="CG85" s="554">
        <v>17</v>
      </c>
      <c r="CH85" s="560">
        <f>IF(BK85=1,0,IF(BK85=2,2,IF(BK85=3,2,5)))</f>
        <v>0</v>
      </c>
      <c r="CI85" s="560">
        <f>IF(R85=" ",0,CH85*R85)</f>
        <v>0</v>
      </c>
      <c r="CJ85" s="560">
        <f>(AZ85+BC85)/2*BT85</f>
        <v>0</v>
      </c>
      <c r="CK85" s="564">
        <f>(BA85+BD85)/2*BF85</f>
        <v>0</v>
      </c>
      <c r="CL85" s="532"/>
      <c r="CM85" s="1065" t="b">
        <f>AND(BL85&gt;1)</f>
        <v>0</v>
      </c>
      <c r="CN85" s="532"/>
      <c r="CO85" s="570">
        <f>INDEX(Tiere!F$83:F$87,'Berechnung Nährstoffe und Lager'!$BK85)</f>
        <v>0</v>
      </c>
      <c r="CP85" s="570">
        <f>INDEX(Tiere!G$83:G$87,'Berechnung Nährstoffe und Lager'!$BK85)</f>
        <v>0</v>
      </c>
      <c r="CQ85" s="570">
        <f>INDEX(Tiere!H$83:H$87,'Berechnung Nährstoffe und Lager'!$BK85)</f>
        <v>0</v>
      </c>
      <c r="CR85" s="406">
        <f>+((((AZ85*BQ85*(100-BY85)/100)*(CO85/100))+((BF85*BH85*BA85)*(CP85/100)))+(((BC85*BQ85*(100-BY85)/100)*(CO85/100))+((BF85*BH85*BD85)*(CP85/100))))/2</f>
        <v>0</v>
      </c>
      <c r="CS85" s="409">
        <f>+((AL85+AS85+AO85+AV85)/2)/100*CQ85</f>
        <v>0</v>
      </c>
      <c r="CT85" s="409">
        <f>+($E85+$F85)*($H85+$I85)/2/100*BQ85*(100-BZ85)/100</f>
        <v>0</v>
      </c>
      <c r="CU85" s="409">
        <f>+($E85+$F85)*($H85+$I85)/2/100*BR85</f>
        <v>0</v>
      </c>
      <c r="CV85" s="409">
        <f>+($E85+$F85)*($H85+$I85)/2/100*BS85</f>
        <v>0</v>
      </c>
      <c r="CW85" s="409">
        <f>IF($DJ85=FALSE,(($E85*(100-BY85)/100*(100-($H85+$I85)/2)/100+$F85*(100-BZ85)/100*(100-($H85+$I85)/2)/100)*BQ85+(AS85+AV85)/2),0)</f>
        <v>0</v>
      </c>
      <c r="CX85" s="409">
        <f t="shared" si="65"/>
        <v>0</v>
      </c>
      <c r="CY85" s="409">
        <f t="shared" si="66"/>
        <v>0</v>
      </c>
      <c r="CZ85" s="409">
        <f>IF($DJ85=FALSE,(AF85+AB85)/2,0)</f>
        <v>0</v>
      </c>
      <c r="DA85" s="409">
        <f t="shared" si="68"/>
        <v>0</v>
      </c>
      <c r="DB85" s="409"/>
      <c r="DC85" s="409">
        <f>IF($DJ85=TRUE,(($E85*(100-BY85)/100*(100-($H85+$I85)/2)/100+$F85*(100-BZ85)/100*(100-($H85+$I85)/2)/100)*BQ85+(AS85+AV85)/2),0)</f>
        <v>0</v>
      </c>
      <c r="DD85" s="409">
        <f t="shared" si="70"/>
        <v>0</v>
      </c>
      <c r="DE85" s="409">
        <f t="shared" si="71"/>
        <v>0</v>
      </c>
      <c r="DF85" s="409">
        <f>IF($DJ85=TRUE,(AF85+AB85)/2,0)</f>
        <v>0</v>
      </c>
      <c r="DG85" s="409">
        <f>+DC85-DF85</f>
        <v>0</v>
      </c>
      <c r="DH85" s="409">
        <f>IF(BK85=2,60,IF(BK85=3,70,IF(BK85=4,70,55)))</f>
        <v>55</v>
      </c>
      <c r="DI85" s="409">
        <f>IF(BK85=4,70,IF(DC85=0,0,(DG85*55+DF85*DH85)/DC85))</f>
        <v>0</v>
      </c>
      <c r="DJ85" s="532" t="b">
        <v>0</v>
      </c>
      <c r="DK85" s="560">
        <f>IF(DJ85=TRUE,1,0)</f>
        <v>0</v>
      </c>
      <c r="DL85" s="1044">
        <f>+'Abweichende Werte'!$S9/100</f>
        <v>0</v>
      </c>
      <c r="DM85" s="1314">
        <f>+'Abweichende Werte'!$T9</f>
        <v>0</v>
      </c>
      <c r="DN85" s="1314">
        <f>+'Abweichende Werte'!$U9</f>
        <v>0</v>
      </c>
      <c r="DO85" s="1044">
        <f>+'Abweichende Werte'!$V9/100</f>
        <v>0</v>
      </c>
      <c r="DP85" s="1314">
        <f>+'Abweichende Werte'!$W9</f>
        <v>0</v>
      </c>
      <c r="DQ85" s="1314">
        <f>+'Abweichende Werte'!$X9</f>
        <v>0</v>
      </c>
      <c r="DR85" s="1314">
        <f>+'Abweichende Werte'!$AE9</f>
        <v>0</v>
      </c>
      <c r="DS85" s="1314">
        <f>+'Abweichende Werte'!$AF9</f>
        <v>0</v>
      </c>
      <c r="DT85" s="566">
        <f>IF(DJ85=TRUE,(DV85*DR85+DX85*DS85),0)</f>
        <v>0</v>
      </c>
      <c r="DU85" s="566">
        <f>IF(J85=" ",0,(CJ85*AJ85+CK85*AK85)/(CJ85+CK85))</f>
        <v>0</v>
      </c>
      <c r="DV85" s="566">
        <f>+(U85+W85)/2</f>
        <v>0</v>
      </c>
      <c r="DW85" s="566">
        <f>+AR85</f>
        <v>0</v>
      </c>
      <c r="DX85" s="566">
        <f>+(V85+X85)/2</f>
        <v>0</v>
      </c>
      <c r="DY85" s="1268">
        <f>IF(DJ85=TRUE,(DV85*DU85/100*DL85*DM85)/1000,0)</f>
        <v>0</v>
      </c>
      <c r="DZ85" s="1063">
        <f>+DY85*DN85/100</f>
        <v>0</v>
      </c>
      <c r="EA85" s="1268">
        <f>IF(DJ85=TRUE,((V85+X85)/2*AR85/100*DO85*DP85)/1000,0)</f>
        <v>0</v>
      </c>
      <c r="EB85" s="1063">
        <f>+EA85*DQ85/100</f>
        <v>0</v>
      </c>
      <c r="EC85" s="1063">
        <f>+((U85+W85)/2+(V85+X85)/2)*DK85</f>
        <v>0</v>
      </c>
      <c r="ED85" s="406">
        <f>+((U85+W85)/2*DU85/100+((V85+X85)/2)*AR85/100)*DK85</f>
        <v>0</v>
      </c>
      <c r="EE85" s="1063">
        <f>+EC85-ED85</f>
        <v>0</v>
      </c>
      <c r="EF85" s="406" t="e">
        <f>+ED85/EC85</f>
        <v>#DIV/0!</v>
      </c>
      <c r="EG85" s="406">
        <f>+((U85+W85)/2*DU85/100*DL85+((V85+X85)/2)*AR85/100*DO85)*DK85</f>
        <v>0</v>
      </c>
      <c r="EH85" s="406" t="e">
        <f>+((U85+W85)/2*DU85/100*DL85*DM85+((V85+X85)/2)*AR85/100*DO85*DP85)*DK85/EC85</f>
        <v>#DIV/0!</v>
      </c>
      <c r="EI85" s="406" t="e">
        <f>(DV85+DX85)*EH85*((DZ85+EB85)/(DY85+EA85))/22.26*0.01605</f>
        <v>#DIV/0!</v>
      </c>
      <c r="EJ85" s="458" t="e">
        <f t="shared" si="83"/>
        <v>#DIV/0!</v>
      </c>
      <c r="EK85" s="406">
        <f>IF(EC85=0,0,EI85+EJ85)</f>
        <v>0</v>
      </c>
      <c r="EL85" s="406">
        <f>+DM85/887*100</f>
        <v>0</v>
      </c>
      <c r="EM85" s="521">
        <f>15.44*EL85/100</f>
        <v>0</v>
      </c>
      <c r="EN85" s="678">
        <f>+EK85-EO85</f>
        <v>0</v>
      </c>
      <c r="EO85" s="678">
        <f>+EK85*EM85/100</f>
        <v>0</v>
      </c>
    </row>
    <row r="86" spans="1:151" ht="18" customHeight="1" x14ac:dyDescent="0.2">
      <c r="A86" s="2058" t="str">
        <f>+'Abweichende Werte'!$AD10</f>
        <v xml:space="preserve"> -- - </v>
      </c>
      <c r="B86" s="2059"/>
      <c r="C86" s="2059"/>
      <c r="D86" s="2103"/>
      <c r="E86" s="443"/>
      <c r="F86" s="455"/>
      <c r="G86" s="351"/>
      <c r="H86" s="443"/>
      <c r="I86" s="1122"/>
      <c r="J86" s="693" t="str">
        <f t="shared" si="92"/>
        <v xml:space="preserve"> </v>
      </c>
      <c r="K86" s="1931" t="str">
        <f t="shared" si="92"/>
        <v xml:space="preserve"> </v>
      </c>
      <c r="L86" s="1932"/>
      <c r="M86" s="1114"/>
      <c r="N86" s="20"/>
      <c r="O86" s="20"/>
      <c r="P86" s="532">
        <f>IF(E86+F86&gt;=1,IF(BK86=1,1,0),0)</f>
        <v>0</v>
      </c>
      <c r="Q86" s="560" t="str">
        <f>IF(K86=" "," ",(K86*(1/CA86)))</f>
        <v xml:space="preserve"> </v>
      </c>
      <c r="R86" s="560" t="str">
        <f t="shared" si="3"/>
        <v xml:space="preserve"> </v>
      </c>
      <c r="S86" s="560">
        <f t="shared" si="42"/>
        <v>0</v>
      </c>
      <c r="T86" s="641">
        <f t="shared" si="43"/>
        <v>0</v>
      </c>
      <c r="U86" s="560">
        <f>IF(CM86=FALSE,0,IF(Z86+AA86=0,0,IF(AZ86*BT86+BA86*BF86=0,0,AZ86*BT86+BA86*BF86)))</f>
        <v>0</v>
      </c>
      <c r="V86" s="560">
        <f>IF(CM86=FALSE,0,IF(AA86=0,0,IF(BD86+BA86=0,0,IF(BK86=4,BA86*BG86-(E86*(1-H86/100)*BG86)*((1220/1000)/(2*11)),BA86*BG86))))</f>
        <v>0</v>
      </c>
      <c r="W86" s="560">
        <f>IF(CM86=FALSE,0,IF(Z86+AA86=0,0,IF(BC86*BT86+BD86*BF86=0,0,BC86*BT86+BD86*BF86)))</f>
        <v>0</v>
      </c>
      <c r="X86" s="560">
        <f>IF(CM86=FALSE,0,IF(AA86=0,0,IF(BD86+BA86=0,0,IF(BK86=4,BD86*BG86-(E86*(1-I86/100)*BG86)*((1220/1000)/(2*11)),BD86*BG86))))</f>
        <v>0</v>
      </c>
      <c r="Y86" s="560" t="str">
        <f>IF(X86=0," ",(X86*(1/CA86)))</f>
        <v xml:space="preserve"> </v>
      </c>
      <c r="Z86" s="561">
        <f>IF(BT86=0,0,E86)</f>
        <v>0</v>
      </c>
      <c r="AA86" s="562">
        <f>IF(BT86=0,E86+F86,F86)</f>
        <v>0</v>
      </c>
      <c r="AB86" s="641">
        <f t="shared" si="44"/>
        <v>0</v>
      </c>
      <c r="AC86" s="641">
        <f t="shared" si="45"/>
        <v>0</v>
      </c>
      <c r="AD86" s="641">
        <f t="shared" si="46"/>
        <v>0</v>
      </c>
      <c r="AE86" s="641">
        <f t="shared" si="47"/>
        <v>0</v>
      </c>
      <c r="AF86" s="563">
        <f>+(BC86*BQ86*(100-BY86)/100)+(BF86*BH86*BD86)</f>
        <v>0</v>
      </c>
      <c r="AG86" s="560">
        <f>IF(BK86=2,AF86,0)</f>
        <v>0</v>
      </c>
      <c r="AH86" s="560">
        <f>BC86*BR86+BD86*BF86*BI86</f>
        <v>0</v>
      </c>
      <c r="AI86" s="564">
        <f>BC86*BS86+BD86*BF86*BJ86</f>
        <v>0</v>
      </c>
      <c r="AJ86" s="1312">
        <f>'Abweichende Werte'!$L10</f>
        <v>0</v>
      </c>
      <c r="AK86" s="1312">
        <f>'Abweichende Werte'!$M10</f>
        <v>0</v>
      </c>
      <c r="AL86" s="560">
        <f t="shared" si="48"/>
        <v>0</v>
      </c>
      <c r="AM86" s="560">
        <f t="shared" si="49"/>
        <v>0</v>
      </c>
      <c r="AN86" s="560">
        <f t="shared" si="50"/>
        <v>0</v>
      </c>
      <c r="AO86" s="563">
        <f>+(BD86*BQ86*(100-BZ86)/100)-BF86*BD86*BH86</f>
        <v>0</v>
      </c>
      <c r="AP86" s="560">
        <f>BD86*BR86-BD86*BF86*BI86</f>
        <v>0</v>
      </c>
      <c r="AQ86" s="564">
        <f>BD86*BS86-BD86*BF86*BJ86</f>
        <v>0</v>
      </c>
      <c r="AR86" s="1312">
        <f>'Abweichende Werte'!$N10</f>
        <v>0</v>
      </c>
      <c r="AS86" s="566">
        <f t="shared" si="51"/>
        <v>0</v>
      </c>
      <c r="AT86" s="566">
        <f t="shared" si="52"/>
        <v>0</v>
      </c>
      <c r="AU86" s="566">
        <f t="shared" si="53"/>
        <v>0</v>
      </c>
      <c r="AV86" s="563">
        <f t="shared" si="54"/>
        <v>0</v>
      </c>
      <c r="AW86" s="560">
        <f t="shared" si="55"/>
        <v>0</v>
      </c>
      <c r="AX86" s="564">
        <f t="shared" si="56"/>
        <v>0</v>
      </c>
      <c r="AY86" s="560"/>
      <c r="AZ86" s="638">
        <f t="shared" si="93"/>
        <v>0</v>
      </c>
      <c r="BA86" s="639">
        <f t="shared" si="93"/>
        <v>0</v>
      </c>
      <c r="BB86" s="639">
        <f t="shared" si="20"/>
        <v>0</v>
      </c>
      <c r="BC86" s="563">
        <f t="shared" si="94"/>
        <v>0</v>
      </c>
      <c r="BD86" s="560">
        <f t="shared" si="94"/>
        <v>0</v>
      </c>
      <c r="BE86" s="564">
        <f t="shared" si="23"/>
        <v>0</v>
      </c>
      <c r="BF86" s="570">
        <f>IF(BM86=1,BU86,IF(BM86=2,BU86/2,0))</f>
        <v>0</v>
      </c>
      <c r="BG86" s="567">
        <f>IF(BM86=1,BV86,IF(BM86=2,BW86,BX86))</f>
        <v>0</v>
      </c>
      <c r="BH86" s="570">
        <f>IF(BK86=2,3.2,IF(BK86=3,3.3,0))</f>
        <v>0</v>
      </c>
      <c r="BI86" s="570">
        <f>IF(BK86=2,0,IF(BK86=3,0,0))</f>
        <v>0</v>
      </c>
      <c r="BJ86" s="570">
        <f>IF(BK86=2,7.9,IF(BK86=3,3.1,0))</f>
        <v>0</v>
      </c>
      <c r="BK86" s="1315">
        <f>'Abweichende Werte'!$AB10</f>
        <v>1</v>
      </c>
      <c r="BL86" s="572">
        <f>+BK86</f>
        <v>1</v>
      </c>
      <c r="BM86" s="572">
        <v>1</v>
      </c>
      <c r="BN86" s="1315">
        <f>'Abweichende Werte'!$C10</f>
        <v>0</v>
      </c>
      <c r="BO86" s="571" t="str">
        <f t="shared" si="62"/>
        <v>1</v>
      </c>
      <c r="BP86" s="570">
        <f>E86*BN86+F86*BN86</f>
        <v>0</v>
      </c>
      <c r="BQ86" s="1314">
        <f>'Abweichende Werte'!$D10</f>
        <v>0</v>
      </c>
      <c r="BR86" s="1312">
        <f>'Abweichende Werte'!$E10</f>
        <v>0</v>
      </c>
      <c r="BS86" s="573">
        <f>'Abweichende Werte'!$F10</f>
        <v>0</v>
      </c>
      <c r="BT86" s="1314">
        <f>'Abweichende Werte'!$G10</f>
        <v>0</v>
      </c>
      <c r="BU86" s="573">
        <f>'Abweichende Werte'!$H10</f>
        <v>0</v>
      </c>
      <c r="BV86" s="1312">
        <f>'Abweichende Werte'!$I10</f>
        <v>0</v>
      </c>
      <c r="BW86" s="1312">
        <f>'Abweichende Werte'!$J10</f>
        <v>0</v>
      </c>
      <c r="BX86" s="1312">
        <f>'Abweichende Werte'!$K10</f>
        <v>0</v>
      </c>
      <c r="BY86" s="570">
        <f>IF(BK86=2,15,IF(BK86=3,20,IF(BK86=4,40,IF(BK86=5,45,0))))</f>
        <v>0</v>
      </c>
      <c r="BZ86" s="567">
        <f>IF(BK86=2,30,IF(BK86=3,30,IF(BK86=4,40,IF(BK86=5,45,0))))</f>
        <v>0</v>
      </c>
      <c r="CA86" s="573">
        <f>'Abweichende Werte'!$R10</f>
        <v>0</v>
      </c>
      <c r="CB86" s="575">
        <f>'Abweichende Werte'!$O10</f>
        <v>0</v>
      </c>
      <c r="CC86" s="1316">
        <f>'Abweichende Werte'!$P10</f>
        <v>0</v>
      </c>
      <c r="CD86" s="575">
        <f>'Abweichende Werte'!$Q10</f>
        <v>0</v>
      </c>
      <c r="CE86" s="553">
        <v>5</v>
      </c>
      <c r="CF86" s="548">
        <v>3</v>
      </c>
      <c r="CG86" s="554">
        <v>17</v>
      </c>
      <c r="CH86" s="560">
        <f>IF(BK86=1,0,IF(BK86=2,2,IF(BK86=3,2,5)))</f>
        <v>0</v>
      </c>
      <c r="CI86" s="560">
        <f>IF(R86=" ",0,CH86*R86)</f>
        <v>0</v>
      </c>
      <c r="CJ86" s="560">
        <f>(AZ86+BC86)/2*BT86</f>
        <v>0</v>
      </c>
      <c r="CK86" s="564">
        <f>(BA86+BD86)/2*BF86</f>
        <v>0</v>
      </c>
      <c r="CL86" s="532"/>
      <c r="CM86" s="1065" t="b">
        <f>AND(BL86&gt;1)</f>
        <v>0</v>
      </c>
      <c r="CN86" s="532"/>
      <c r="CO86" s="570">
        <f>INDEX(Tiere!F$83:F$87,'Berechnung Nährstoffe und Lager'!$BK86)</f>
        <v>0</v>
      </c>
      <c r="CP86" s="570">
        <f>INDEX(Tiere!G$83:G$87,'Berechnung Nährstoffe und Lager'!$BK86)</f>
        <v>0</v>
      </c>
      <c r="CQ86" s="570">
        <f>INDEX(Tiere!H$83:H$87,'Berechnung Nährstoffe und Lager'!$BK86)</f>
        <v>0</v>
      </c>
      <c r="CR86" s="406">
        <f t="shared" si="28"/>
        <v>0</v>
      </c>
      <c r="CS86" s="409">
        <f t="shared" si="29"/>
        <v>0</v>
      </c>
      <c r="CT86" s="409">
        <f t="shared" si="30"/>
        <v>0</v>
      </c>
      <c r="CU86" s="409">
        <f t="shared" si="31"/>
        <v>0</v>
      </c>
      <c r="CV86" s="409">
        <f t="shared" si="32"/>
        <v>0</v>
      </c>
      <c r="CW86" s="409">
        <f t="shared" si="64"/>
        <v>0</v>
      </c>
      <c r="CX86" s="409">
        <f t="shared" si="65"/>
        <v>0</v>
      </c>
      <c r="CY86" s="409">
        <f t="shared" si="66"/>
        <v>0</v>
      </c>
      <c r="CZ86" s="409">
        <f t="shared" si="67"/>
        <v>0</v>
      </c>
      <c r="DA86" s="409">
        <f t="shared" si="68"/>
        <v>0</v>
      </c>
      <c r="DB86" s="409"/>
      <c r="DC86" s="409">
        <f t="shared" si="69"/>
        <v>0</v>
      </c>
      <c r="DD86" s="409">
        <f t="shared" si="70"/>
        <v>0</v>
      </c>
      <c r="DE86" s="409">
        <f t="shared" si="71"/>
        <v>0</v>
      </c>
      <c r="DF86" s="409">
        <f t="shared" si="72"/>
        <v>0</v>
      </c>
      <c r="DG86" s="409">
        <f t="shared" si="73"/>
        <v>0</v>
      </c>
      <c r="DH86" s="409">
        <f t="shared" si="74"/>
        <v>55</v>
      </c>
      <c r="DI86" s="409">
        <f t="shared" si="75"/>
        <v>0</v>
      </c>
      <c r="DJ86" s="532" t="b">
        <v>0</v>
      </c>
      <c r="DK86" s="560">
        <f t="shared" si="76"/>
        <v>0</v>
      </c>
      <c r="DL86" s="1044">
        <f>+'Abweichende Werte'!$S10/100</f>
        <v>0</v>
      </c>
      <c r="DM86" s="1314">
        <f>+'Abweichende Werte'!$T10</f>
        <v>0</v>
      </c>
      <c r="DN86" s="1314">
        <f>+'Abweichende Werte'!$U10</f>
        <v>0</v>
      </c>
      <c r="DO86" s="1044">
        <f>+'Abweichende Werte'!$V10/100</f>
        <v>0</v>
      </c>
      <c r="DP86" s="1314">
        <f>+'Abweichende Werte'!$W10</f>
        <v>0</v>
      </c>
      <c r="DQ86" s="1314">
        <f>+'Abweichende Werte'!$X10</f>
        <v>0</v>
      </c>
      <c r="DR86" s="1314">
        <f>+'Abweichende Werte'!$AE10</f>
        <v>0</v>
      </c>
      <c r="DS86" s="1314">
        <f>+'Abweichende Werte'!$AF10</f>
        <v>0</v>
      </c>
      <c r="DT86" s="566">
        <f t="shared" si="77"/>
        <v>0</v>
      </c>
      <c r="DU86" s="566">
        <f>IF(J86=" ",0,(CJ86*AJ86+CK86*AK86)/(CJ86+CK86))</f>
        <v>0</v>
      </c>
      <c r="DV86" s="566">
        <f t="shared" si="34"/>
        <v>0</v>
      </c>
      <c r="DW86" s="566">
        <f t="shared" si="35"/>
        <v>0</v>
      </c>
      <c r="DX86" s="566">
        <f t="shared" si="36"/>
        <v>0</v>
      </c>
      <c r="DY86" s="1268">
        <f>IF(DJ86=TRUE,(DV86*DU86/100*DL86*DM86)/1000,0)</f>
        <v>0</v>
      </c>
      <c r="DZ86" s="1063">
        <f t="shared" si="79"/>
        <v>0</v>
      </c>
      <c r="EA86" s="1268">
        <f>IF(DJ86=TRUE,((V86+X86)/2*AR86/100*DO86*DP86)/1000,0)</f>
        <v>0</v>
      </c>
      <c r="EB86" s="1063">
        <f t="shared" si="81"/>
        <v>0</v>
      </c>
      <c r="EC86" s="1063">
        <f t="shared" si="37"/>
        <v>0</v>
      </c>
      <c r="ED86" s="406">
        <f t="shared" si="38"/>
        <v>0</v>
      </c>
      <c r="EE86" s="1063">
        <f t="shared" si="82"/>
        <v>0</v>
      </c>
      <c r="EF86" s="406" t="e">
        <f t="shared" si="39"/>
        <v>#DIV/0!</v>
      </c>
      <c r="EG86" s="406">
        <f t="shared" si="40"/>
        <v>0</v>
      </c>
      <c r="EH86" s="406" t="e">
        <f t="shared" si="90"/>
        <v>#DIV/0!</v>
      </c>
      <c r="EI86" s="406" t="e">
        <f t="shared" si="91"/>
        <v>#DIV/0!</v>
      </c>
      <c r="EJ86" s="458" t="e">
        <f t="shared" si="83"/>
        <v>#DIV/0!</v>
      </c>
      <c r="EK86" s="406">
        <f t="shared" si="84"/>
        <v>0</v>
      </c>
      <c r="EL86" s="406">
        <f t="shared" si="85"/>
        <v>0</v>
      </c>
      <c r="EM86" s="521">
        <f t="shared" si="86"/>
        <v>0</v>
      </c>
      <c r="EN86" s="678">
        <f t="shared" si="87"/>
        <v>0</v>
      </c>
      <c r="EO86" s="678">
        <f t="shared" si="88"/>
        <v>0</v>
      </c>
    </row>
    <row r="87" spans="1:151" ht="18" customHeight="1" thickBot="1" x14ac:dyDescent="0.25">
      <c r="A87" s="2144" t="str">
        <f>+'Abweichende Werte'!$AD11</f>
        <v xml:space="preserve"> -- - </v>
      </c>
      <c r="B87" s="2145"/>
      <c r="C87" s="2145"/>
      <c r="D87" s="2146"/>
      <c r="E87" s="660"/>
      <c r="F87" s="661"/>
      <c r="G87" s="662"/>
      <c r="H87" s="660"/>
      <c r="I87" s="1123"/>
      <c r="J87" s="694" t="str">
        <f t="shared" si="92"/>
        <v xml:space="preserve"> </v>
      </c>
      <c r="K87" s="1934" t="str">
        <f t="shared" si="92"/>
        <v xml:space="preserve"> </v>
      </c>
      <c r="L87" s="1935"/>
      <c r="M87" s="1115"/>
      <c r="N87" s="695"/>
      <c r="O87" s="695"/>
      <c r="P87" s="532">
        <f>IF(E87+F87&gt;=1,IF(BK87=1,1,0),0)</f>
        <v>0</v>
      </c>
      <c r="Q87" s="560" t="str">
        <f>IF(K87=" "," ",(K87*(1/CA87)))</f>
        <v xml:space="preserve"> </v>
      </c>
      <c r="R87" s="560" t="str">
        <f t="shared" si="3"/>
        <v xml:space="preserve"> </v>
      </c>
      <c r="S87" s="560">
        <f t="shared" si="42"/>
        <v>0</v>
      </c>
      <c r="T87" s="1271">
        <f t="shared" si="43"/>
        <v>0</v>
      </c>
      <c r="U87" s="560">
        <f>IF(CM87=FALSE,0,IF(Z87+AA87=0,0,IF(AZ87*BT87+BA87*BF87=0,0,AZ87*BT87+BA87*BF87)))</f>
        <v>0</v>
      </c>
      <c r="V87" s="560">
        <f>IF(CM87=FALSE,0,IF(AA87=0,0,IF(BD87+BA87=0,0,IF(BK87=4,BA87*BG87-(E87*(1-H87/100)*BG87)*((1220/1000)/(2*11)),BA87*BG87))))</f>
        <v>0</v>
      </c>
      <c r="W87" s="560">
        <f>IF(CM87=FALSE,0,IF(Z87+AA87=0,0,IF(BC87*BT87+BD87*BF87=0,0,BC87*BT87+BD87*BF87)))</f>
        <v>0</v>
      </c>
      <c r="X87" s="560">
        <f>IF(CM87=FALSE,0,IF(AA87=0,0,IF(BD87+BA87=0,0,IF(BK87=4,BD87*BG87-(E87*(1-I87/100)*BG87)*((1220/1000)/(2*11)),BD87*BG87))))</f>
        <v>0</v>
      </c>
      <c r="Y87" s="560" t="str">
        <f>IF(X87=0," ",(X87*(1/CA87)))</f>
        <v xml:space="preserve"> </v>
      </c>
      <c r="Z87" s="561">
        <f>IF(BT87=0,0,E87)</f>
        <v>0</v>
      </c>
      <c r="AA87" s="562">
        <f>IF(BT87=0,E87+F87,F87)</f>
        <v>0</v>
      </c>
      <c r="AB87" s="1271">
        <f t="shared" si="44"/>
        <v>0</v>
      </c>
      <c r="AC87" s="1271">
        <f t="shared" si="45"/>
        <v>0</v>
      </c>
      <c r="AD87" s="1271">
        <f t="shared" si="46"/>
        <v>0</v>
      </c>
      <c r="AE87" s="641">
        <f t="shared" si="47"/>
        <v>0</v>
      </c>
      <c r="AF87" s="563">
        <f>+(BC87*BQ87*(100-BY87)/100)+(BF87*BH87*BD87)</f>
        <v>0</v>
      </c>
      <c r="AG87" s="560">
        <f>IF(BK87=2,AF87,0)</f>
        <v>0</v>
      </c>
      <c r="AH87" s="560">
        <f>BC87*BR87+BD87*BF87*BI87</f>
        <v>0</v>
      </c>
      <c r="AI87" s="564">
        <f>BC87*BS87+BD87*BF87*BJ87</f>
        <v>0</v>
      </c>
      <c r="AJ87" s="1312">
        <f>'Abweichende Werte'!$L11</f>
        <v>0</v>
      </c>
      <c r="AK87" s="1312">
        <f>'Abweichende Werte'!$M11</f>
        <v>0</v>
      </c>
      <c r="AL87" s="560">
        <f t="shared" si="48"/>
        <v>0</v>
      </c>
      <c r="AM87" s="560">
        <f t="shared" si="49"/>
        <v>0</v>
      </c>
      <c r="AN87" s="560">
        <f t="shared" si="50"/>
        <v>0</v>
      </c>
      <c r="AO87" s="563">
        <f>+(BD87*BQ87*(100-BZ87)/100)-BF87*BD87*BH87</f>
        <v>0</v>
      </c>
      <c r="AP87" s="560">
        <f>BD87*BR87-BD87*BF87*BI87</f>
        <v>0</v>
      </c>
      <c r="AQ87" s="564">
        <f>BD87*BS87-BD87*BF87*BJ87</f>
        <v>0</v>
      </c>
      <c r="AR87" s="1312">
        <f>'Abweichende Werte'!$N11</f>
        <v>0</v>
      </c>
      <c r="AS87" s="566">
        <f t="shared" si="51"/>
        <v>0</v>
      </c>
      <c r="AT87" s="566">
        <f t="shared" si="52"/>
        <v>0</v>
      </c>
      <c r="AU87" s="566">
        <f t="shared" si="53"/>
        <v>0</v>
      </c>
      <c r="AV87" s="563">
        <f t="shared" si="54"/>
        <v>0</v>
      </c>
      <c r="AW87" s="560">
        <f t="shared" si="55"/>
        <v>0</v>
      </c>
      <c r="AX87" s="564">
        <f t="shared" si="56"/>
        <v>0</v>
      </c>
      <c r="AY87" s="560"/>
      <c r="AZ87" s="638">
        <f t="shared" si="93"/>
        <v>0</v>
      </c>
      <c r="BA87" s="639">
        <f t="shared" si="93"/>
        <v>0</v>
      </c>
      <c r="BB87" s="639">
        <f t="shared" si="20"/>
        <v>0</v>
      </c>
      <c r="BC87" s="637">
        <f t="shared" si="94"/>
        <v>0</v>
      </c>
      <c r="BD87" s="640">
        <f t="shared" si="94"/>
        <v>0</v>
      </c>
      <c r="BE87" s="564">
        <f t="shared" si="23"/>
        <v>0</v>
      </c>
      <c r="BF87" s="570">
        <f>IF(BM87=1,BU87,IF(BM87=2,BU87/2,0))</f>
        <v>0</v>
      </c>
      <c r="BG87" s="567">
        <f>IF(BM87=1,BV87,IF(BM87=2,BW87,BX87))</f>
        <v>0</v>
      </c>
      <c r="BH87" s="570">
        <f>IF(BK87=2,3.2,IF(BK87=3,3.3,0))</f>
        <v>0</v>
      </c>
      <c r="BI87" s="570">
        <f>IF(BK87=2,0,IF(BK87=3,0,0))</f>
        <v>0</v>
      </c>
      <c r="BJ87" s="570">
        <f>IF(BK87=2,7.9,IF(BK87=3,3.1,0))</f>
        <v>0</v>
      </c>
      <c r="BK87" s="1315">
        <f>'Abweichende Werte'!$AB11</f>
        <v>1</v>
      </c>
      <c r="BL87" s="572">
        <f>+BK87</f>
        <v>1</v>
      </c>
      <c r="BM87" s="572">
        <v>1</v>
      </c>
      <c r="BN87" s="1315">
        <f>'Abweichende Werte'!$C11</f>
        <v>0</v>
      </c>
      <c r="BO87" s="571" t="str">
        <f t="shared" si="62"/>
        <v>1</v>
      </c>
      <c r="BP87" s="570">
        <f>E87*BN87+F87*BN87</f>
        <v>0</v>
      </c>
      <c r="BQ87" s="1314">
        <f>'Abweichende Werte'!$D11</f>
        <v>0</v>
      </c>
      <c r="BR87" s="1312">
        <f>'Abweichende Werte'!$E11</f>
        <v>0</v>
      </c>
      <c r="BS87" s="573">
        <f>'Abweichende Werte'!$F11</f>
        <v>0</v>
      </c>
      <c r="BT87" s="1314">
        <f>'Abweichende Werte'!$G11</f>
        <v>0</v>
      </c>
      <c r="BU87" s="573">
        <f>'Abweichende Werte'!$H11</f>
        <v>0</v>
      </c>
      <c r="BV87" s="1312">
        <f>'Abweichende Werte'!$I11</f>
        <v>0</v>
      </c>
      <c r="BW87" s="1312">
        <f>'Abweichende Werte'!$J11</f>
        <v>0</v>
      </c>
      <c r="BX87" s="1312">
        <f>'Abweichende Werte'!$K11</f>
        <v>0</v>
      </c>
      <c r="BY87" s="570">
        <f>IF(BK87=2,15,IF(BK87=3,20,IF(BK87=4,40,IF(BK87=5,45,0))))</f>
        <v>0</v>
      </c>
      <c r="BZ87" s="567">
        <f>IF(BK87=2,30,IF(BK87=3,30,IF(BK87=4,40,IF(BK87=5,45,0))))</f>
        <v>0</v>
      </c>
      <c r="CA87" s="573">
        <f>'Abweichende Werte'!$R11</f>
        <v>0</v>
      </c>
      <c r="CB87" s="575">
        <f>'Abweichende Werte'!$O11</f>
        <v>0</v>
      </c>
      <c r="CC87" s="1316">
        <f>'Abweichende Werte'!$P11</f>
        <v>0</v>
      </c>
      <c r="CD87" s="575">
        <f>'Abweichende Werte'!$Q11</f>
        <v>0</v>
      </c>
      <c r="CE87" s="553">
        <v>5</v>
      </c>
      <c r="CF87" s="548">
        <v>3</v>
      </c>
      <c r="CG87" s="554">
        <v>17</v>
      </c>
      <c r="CH87" s="560">
        <f>IF(BK87=1,0,IF(BK87=2,2,IF(BK87=3,2,5)))</f>
        <v>0</v>
      </c>
      <c r="CI87" s="560">
        <f>IF(R87=" ",0,CH87*R87)</f>
        <v>0</v>
      </c>
      <c r="CJ87" s="560">
        <f>(AZ87+BC87)/2*BT87</f>
        <v>0</v>
      </c>
      <c r="CK87" s="564">
        <f>(BA87+BD87)/2*BF87</f>
        <v>0</v>
      </c>
      <c r="CL87" s="532"/>
      <c r="CM87" s="1065" t="b">
        <f>AND(BL87&gt;1)</f>
        <v>0</v>
      </c>
      <c r="CN87" s="532"/>
      <c r="CO87" s="570">
        <f>INDEX(Tiere!F$83:F$87,'Berechnung Nährstoffe und Lager'!$BK87)</f>
        <v>0</v>
      </c>
      <c r="CP87" s="570">
        <f>INDEX(Tiere!G$83:G$87,'Berechnung Nährstoffe und Lager'!$BK87)</f>
        <v>0</v>
      </c>
      <c r="CQ87" s="570">
        <f>INDEX(Tiere!H$83:H$87,'Berechnung Nährstoffe und Lager'!$BK87)</f>
        <v>0</v>
      </c>
      <c r="CR87" s="406">
        <f t="shared" si="28"/>
        <v>0</v>
      </c>
      <c r="CS87" s="409">
        <f t="shared" si="29"/>
        <v>0</v>
      </c>
      <c r="CT87" s="409">
        <f t="shared" si="30"/>
        <v>0</v>
      </c>
      <c r="CU87" s="409">
        <f t="shared" si="31"/>
        <v>0</v>
      </c>
      <c r="CV87" s="409">
        <f t="shared" si="32"/>
        <v>0</v>
      </c>
      <c r="CW87" s="409">
        <f t="shared" si="64"/>
        <v>0</v>
      </c>
      <c r="CX87" s="409">
        <f t="shared" si="65"/>
        <v>0</v>
      </c>
      <c r="CY87" s="409">
        <f t="shared" si="66"/>
        <v>0</v>
      </c>
      <c r="CZ87" s="409">
        <f t="shared" si="67"/>
        <v>0</v>
      </c>
      <c r="DA87" s="409">
        <f t="shared" si="68"/>
        <v>0</v>
      </c>
      <c r="DB87" s="409"/>
      <c r="DC87" s="409">
        <f t="shared" si="69"/>
        <v>0</v>
      </c>
      <c r="DD87" s="409">
        <f t="shared" si="70"/>
        <v>0</v>
      </c>
      <c r="DE87" s="409">
        <f t="shared" si="71"/>
        <v>0</v>
      </c>
      <c r="DF87" s="409">
        <f t="shared" si="72"/>
        <v>0</v>
      </c>
      <c r="DG87" s="409">
        <f t="shared" si="73"/>
        <v>0</v>
      </c>
      <c r="DH87" s="409">
        <f t="shared" si="74"/>
        <v>55</v>
      </c>
      <c r="DI87" s="409">
        <f t="shared" si="75"/>
        <v>0</v>
      </c>
      <c r="DJ87" s="532" t="b">
        <v>0</v>
      </c>
      <c r="DK87" s="560">
        <f t="shared" si="76"/>
        <v>0</v>
      </c>
      <c r="DL87" s="1044">
        <f>+'Abweichende Werte'!$S11/100</f>
        <v>0</v>
      </c>
      <c r="DM87" s="1314">
        <f>+'Abweichende Werte'!$T11</f>
        <v>0</v>
      </c>
      <c r="DN87" s="1314">
        <f>+'Abweichende Werte'!$U11</f>
        <v>0</v>
      </c>
      <c r="DO87" s="1044">
        <f>+'Abweichende Werte'!$V11/100</f>
        <v>0</v>
      </c>
      <c r="DP87" s="1314">
        <f>+'Abweichende Werte'!$W11</f>
        <v>0</v>
      </c>
      <c r="DQ87" s="1314">
        <f>+'Abweichende Werte'!$X11</f>
        <v>0</v>
      </c>
      <c r="DR87" s="1314">
        <f>+'Abweichende Werte'!$AE11</f>
        <v>0</v>
      </c>
      <c r="DS87" s="1314">
        <f>+'Abweichende Werte'!$AF11</f>
        <v>0</v>
      </c>
      <c r="DT87" s="566">
        <f t="shared" si="77"/>
        <v>0</v>
      </c>
      <c r="DU87" s="566">
        <f>IF(J87=" ",0,(CJ87*AJ87+CK87*AK87)/(CJ87+CK87))</f>
        <v>0</v>
      </c>
      <c r="DV87" s="566">
        <f t="shared" si="34"/>
        <v>0</v>
      </c>
      <c r="DW87" s="566">
        <f t="shared" si="35"/>
        <v>0</v>
      </c>
      <c r="DX87" s="566">
        <f t="shared" si="36"/>
        <v>0</v>
      </c>
      <c r="DY87" s="1268">
        <f>IF(DJ87=TRUE,(DV87*DU87/100*DL87*DM87)/1000,0)</f>
        <v>0</v>
      </c>
      <c r="DZ87" s="1063">
        <f t="shared" si="79"/>
        <v>0</v>
      </c>
      <c r="EA87" s="1268">
        <f>IF(DJ87=TRUE,((V87+X87)/2*AR87/100*DO87*DP87)/1000,0)</f>
        <v>0</v>
      </c>
      <c r="EB87" s="1063">
        <f t="shared" si="81"/>
        <v>0</v>
      </c>
      <c r="EC87" s="1063">
        <f t="shared" si="37"/>
        <v>0</v>
      </c>
      <c r="ED87" s="406">
        <f t="shared" si="38"/>
        <v>0</v>
      </c>
      <c r="EE87" s="1063">
        <f t="shared" si="82"/>
        <v>0</v>
      </c>
      <c r="EF87" s="406" t="e">
        <f t="shared" si="39"/>
        <v>#DIV/0!</v>
      </c>
      <c r="EG87" s="406">
        <f t="shared" si="40"/>
        <v>0</v>
      </c>
      <c r="EH87" s="406" t="e">
        <f t="shared" si="90"/>
        <v>#DIV/0!</v>
      </c>
      <c r="EI87" s="406" t="e">
        <f t="shared" si="91"/>
        <v>#DIV/0!</v>
      </c>
      <c r="EJ87" s="458" t="e">
        <f t="shared" si="83"/>
        <v>#DIV/0!</v>
      </c>
      <c r="EK87" s="406">
        <f t="shared" si="84"/>
        <v>0</v>
      </c>
      <c r="EL87" s="406">
        <f t="shared" si="85"/>
        <v>0</v>
      </c>
      <c r="EM87" s="521">
        <f t="shared" si="86"/>
        <v>0</v>
      </c>
      <c r="EN87" s="678">
        <f t="shared" si="87"/>
        <v>0</v>
      </c>
      <c r="EO87" s="678">
        <f t="shared" si="88"/>
        <v>0</v>
      </c>
    </row>
    <row r="88" spans="1:151" ht="18.75" customHeight="1" thickBot="1" x14ac:dyDescent="0.25">
      <c r="A88" s="1078" t="s">
        <v>528</v>
      </c>
      <c r="B88" s="1079"/>
      <c r="C88" s="1079"/>
      <c r="D88" s="1079"/>
      <c r="E88" s="1079"/>
      <c r="F88" s="1079"/>
      <c r="G88" s="1079"/>
      <c r="H88" s="1079"/>
      <c r="I88" s="1079"/>
      <c r="J88" s="1080">
        <f>SUM(J68:J87)</f>
        <v>0</v>
      </c>
      <c r="K88" s="2268">
        <f>SUM(K68:K87)</f>
        <v>0</v>
      </c>
      <c r="L88" s="2269">
        <f>SUM(L68:L87)</f>
        <v>0</v>
      </c>
      <c r="M88" s="1077"/>
      <c r="N88" s="20"/>
      <c r="P88" s="406"/>
      <c r="Q88" s="406"/>
      <c r="R88" s="560">
        <f>SUM(R68:R87)</f>
        <v>0</v>
      </c>
      <c r="S88" s="587">
        <f>SUM(S68:S87)</f>
        <v>0</v>
      </c>
      <c r="T88" s="587">
        <f>SUM(T68:T87)</f>
        <v>0</v>
      </c>
      <c r="U88" s="587">
        <f>SUM(U68:U87)</f>
        <v>0</v>
      </c>
      <c r="V88" s="532"/>
      <c r="W88" s="587">
        <f>SUM(W68:W87)</f>
        <v>0</v>
      </c>
      <c r="X88" s="532"/>
      <c r="Y88" s="1272">
        <f>SUM(Y68:Y87)</f>
        <v>0</v>
      </c>
      <c r="Z88" s="532"/>
      <c r="AA88" s="532"/>
      <c r="AB88" s="658">
        <f t="shared" ref="AB88:AI88" si="95">SUM(AB68:AB87)</f>
        <v>0</v>
      </c>
      <c r="AC88" s="658">
        <f t="shared" si="95"/>
        <v>0</v>
      </c>
      <c r="AD88" s="658">
        <f t="shared" si="95"/>
        <v>0</v>
      </c>
      <c r="AE88" s="658">
        <f t="shared" si="95"/>
        <v>0</v>
      </c>
      <c r="AF88" s="658">
        <f t="shared" si="95"/>
        <v>0</v>
      </c>
      <c r="AG88" s="658">
        <f t="shared" si="95"/>
        <v>0</v>
      </c>
      <c r="AH88" s="658">
        <f t="shared" si="95"/>
        <v>0</v>
      </c>
      <c r="AI88" s="658">
        <f t="shared" si="95"/>
        <v>0</v>
      </c>
      <c r="AJ88" s="659"/>
      <c r="AK88" s="659"/>
      <c r="AL88" s="658">
        <f t="shared" ref="AL88:AQ88" si="96">SUM(AL68:AL87)</f>
        <v>0</v>
      </c>
      <c r="AM88" s="658">
        <f t="shared" si="96"/>
        <v>0</v>
      </c>
      <c r="AN88" s="658">
        <f t="shared" si="96"/>
        <v>0</v>
      </c>
      <c r="AO88" s="658">
        <f t="shared" si="96"/>
        <v>0</v>
      </c>
      <c r="AP88" s="658">
        <f t="shared" si="96"/>
        <v>0</v>
      </c>
      <c r="AQ88" s="658">
        <f t="shared" si="96"/>
        <v>0</v>
      </c>
      <c r="AR88" s="659"/>
      <c r="AS88" s="658">
        <f t="shared" ref="AS88:AX88" si="97">SUM(AS68:AS87)</f>
        <v>0</v>
      </c>
      <c r="AT88" s="658">
        <f t="shared" si="97"/>
        <v>0</v>
      </c>
      <c r="AU88" s="658">
        <f t="shared" si="97"/>
        <v>0</v>
      </c>
      <c r="AV88" s="658">
        <f t="shared" si="97"/>
        <v>0</v>
      </c>
      <c r="AW88" s="658">
        <f t="shared" si="97"/>
        <v>0</v>
      </c>
      <c r="AX88" s="658">
        <f t="shared" si="97"/>
        <v>0</v>
      </c>
      <c r="AY88" s="532"/>
      <c r="AZ88" s="532"/>
      <c r="BA88" s="532"/>
      <c r="BB88" s="532"/>
      <c r="BC88" s="532"/>
      <c r="BD88" s="532"/>
      <c r="BE88" s="532"/>
      <c r="BF88" s="532"/>
      <c r="BG88" s="532"/>
      <c r="BH88" s="532"/>
      <c r="BI88" s="532"/>
      <c r="BJ88" s="532"/>
      <c r="BK88" s="532"/>
      <c r="BL88" s="532">
        <f>IF(OR(BL68=2,BL69=2,BL70=2,BL71=2,BL72=2,BL73=2,BL74=2,BL75=2,BL76=2,BL79=2,BL80=2,BL81=2,),2,1)</f>
        <v>1</v>
      </c>
      <c r="BM88" s="560"/>
      <c r="BN88" s="560"/>
      <c r="BO88" s="560"/>
      <c r="BP88" s="657">
        <f>SUM(BP68:BP87)</f>
        <v>0</v>
      </c>
      <c r="BQ88" s="532"/>
      <c r="BR88" s="532"/>
      <c r="BS88" s="532"/>
      <c r="BT88" s="566"/>
      <c r="BU88" s="566"/>
      <c r="BV88" s="566"/>
      <c r="BW88" s="566"/>
      <c r="BX88" s="566"/>
      <c r="BY88" s="532"/>
      <c r="BZ88" s="532"/>
      <c r="CA88" s="575"/>
      <c r="CB88" s="532"/>
      <c r="CC88" s="532"/>
      <c r="CD88" s="532"/>
      <c r="CE88" s="532"/>
      <c r="CF88" s="532"/>
      <c r="CG88" s="532"/>
      <c r="CH88" s="576"/>
      <c r="CI88" s="577"/>
      <c r="CJ88" s="578">
        <f>SUM(CJ68:CJ87)</f>
        <v>0</v>
      </c>
      <c r="CK88" s="579">
        <f>SUM(CK68:CK87)</f>
        <v>0</v>
      </c>
      <c r="CL88" s="532"/>
      <c r="CM88" s="532"/>
      <c r="CN88" s="532"/>
      <c r="CO88" s="532"/>
      <c r="CP88" s="20"/>
      <c r="CQ88" s="20"/>
      <c r="CR88" s="19">
        <f>SUM(CR68:CR87)</f>
        <v>0</v>
      </c>
      <c r="CS88" s="19">
        <f>SUM(CS68:CS87)</f>
        <v>0</v>
      </c>
      <c r="CT88" s="19">
        <f t="shared" ref="CT88:DE88" si="98">SUM(CT68:CT87)</f>
        <v>0</v>
      </c>
      <c r="CU88" s="19">
        <f t="shared" si="98"/>
        <v>0</v>
      </c>
      <c r="CV88" s="19">
        <f t="shared" si="98"/>
        <v>0</v>
      </c>
      <c r="CW88" s="19">
        <f t="shared" si="98"/>
        <v>0</v>
      </c>
      <c r="CX88" s="19">
        <f t="shared" si="98"/>
        <v>0</v>
      </c>
      <c r="CY88" s="19">
        <f t="shared" si="98"/>
        <v>0</v>
      </c>
      <c r="CZ88" s="19">
        <f t="shared" si="98"/>
        <v>0</v>
      </c>
      <c r="DA88" s="19">
        <f t="shared" si="98"/>
        <v>0</v>
      </c>
      <c r="DB88" s="19"/>
      <c r="DC88" s="19">
        <f t="shared" si="98"/>
        <v>0</v>
      </c>
      <c r="DD88" s="19">
        <f t="shared" si="98"/>
        <v>0</v>
      </c>
      <c r="DE88" s="19">
        <f t="shared" si="98"/>
        <v>0</v>
      </c>
      <c r="DF88" s="19"/>
      <c r="DG88" s="19"/>
      <c r="DH88" s="19"/>
      <c r="DI88" s="19">
        <f>SUMPRODUCT(DC68:DC87,DI68:DI87)</f>
        <v>0</v>
      </c>
      <c r="DJ88" s="20"/>
      <c r="DK88" s="20"/>
      <c r="DL88" s="20"/>
      <c r="DM88" s="20"/>
      <c r="DN88" s="20"/>
      <c r="DO88" s="20"/>
      <c r="DP88" s="20"/>
      <c r="DT88" s="1062">
        <f>SUM(DT68:DT87)</f>
        <v>0</v>
      </c>
      <c r="DU88" s="1064">
        <f>SUMPRODUCT(DU68:DU87,DV68:DV87)</f>
        <v>0</v>
      </c>
      <c r="DV88" s="1040">
        <f t="shared" ref="DV88:EE88" si="99">SUM(DV68:DV87)</f>
        <v>0</v>
      </c>
      <c r="DW88" s="1064">
        <f>SUMPRODUCT(DW68:DW87,DX68:DX87)</f>
        <v>0</v>
      </c>
      <c r="DX88" s="1040">
        <f>SUM(DX68:DX87)</f>
        <v>0</v>
      </c>
      <c r="DY88" s="1067">
        <f t="shared" si="99"/>
        <v>0</v>
      </c>
      <c r="DZ88" s="1067">
        <f t="shared" si="99"/>
        <v>0</v>
      </c>
      <c r="EA88" s="1067">
        <f t="shared" si="99"/>
        <v>0</v>
      </c>
      <c r="EB88" s="1067">
        <f t="shared" si="99"/>
        <v>0</v>
      </c>
      <c r="EC88" s="1040">
        <f t="shared" si="99"/>
        <v>0</v>
      </c>
      <c r="ED88" s="1040">
        <f t="shared" si="99"/>
        <v>0</v>
      </c>
      <c r="EE88" s="1040">
        <f t="shared" si="99"/>
        <v>0</v>
      </c>
      <c r="EF88" s="406" t="e">
        <f>+ED88/EC88</f>
        <v>#DIV/0!</v>
      </c>
      <c r="EG88" s="1040">
        <f>SUM(EG68:EG87)</f>
        <v>0</v>
      </c>
      <c r="EK88" s="1040">
        <f>SUM(EK68:EK87)</f>
        <v>0</v>
      </c>
      <c r="EN88" s="1040">
        <f>SUM(EN68:EN87)</f>
        <v>0</v>
      </c>
      <c r="EO88" s="1040">
        <f>SUM(EO68:EO87)</f>
        <v>0</v>
      </c>
    </row>
    <row r="89" spans="1:151" ht="27.75" customHeight="1" thickBot="1" x14ac:dyDescent="0.25">
      <c r="A89" s="700"/>
      <c r="B89" s="32"/>
      <c r="C89" s="32"/>
      <c r="D89" s="32"/>
      <c r="E89" s="32"/>
      <c r="F89" s="32"/>
      <c r="G89" s="32"/>
      <c r="H89" s="32"/>
      <c r="I89" s="32"/>
      <c r="J89" s="406"/>
      <c r="K89" s="406"/>
      <c r="L89" s="406"/>
      <c r="M89" s="32"/>
      <c r="N89" s="20"/>
      <c r="P89" s="406"/>
      <c r="Q89" s="406"/>
      <c r="R89" s="532"/>
      <c r="S89" s="533" t="s">
        <v>954</v>
      </c>
      <c r="T89" s="532"/>
      <c r="U89" s="587"/>
      <c r="V89" s="587"/>
      <c r="W89" s="587"/>
      <c r="X89" s="532"/>
      <c r="Y89" s="532"/>
      <c r="Z89" s="532"/>
      <c r="AA89" s="532"/>
      <c r="AB89" s="585"/>
      <c r="AC89" s="585"/>
      <c r="AD89" s="585"/>
      <c r="AE89" s="585"/>
      <c r="AF89" s="585"/>
      <c r="AG89" s="585"/>
      <c r="AH89" s="585"/>
      <c r="AI89" s="585"/>
      <c r="AJ89" s="659"/>
      <c r="AK89" s="659"/>
      <c r="AL89" s="1966" t="s">
        <v>1102</v>
      </c>
      <c r="AM89" s="1966"/>
      <c r="AN89" s="1966"/>
      <c r="AO89" s="1966"/>
      <c r="AP89" s="1966"/>
      <c r="AQ89" s="1966"/>
      <c r="AR89" s="659"/>
      <c r="AS89" s="1966" t="s">
        <v>1119</v>
      </c>
      <c r="AT89" s="1966"/>
      <c r="AU89" s="1966"/>
      <c r="AV89" s="1966"/>
      <c r="AW89" s="1966"/>
      <c r="AX89" s="1966"/>
      <c r="AY89" s="532"/>
      <c r="AZ89" s="532"/>
      <c r="BA89" s="532"/>
      <c r="BB89" s="532"/>
      <c r="BC89" s="532"/>
      <c r="BD89" s="532"/>
      <c r="BE89" s="532"/>
      <c r="BF89" s="532"/>
      <c r="BG89" s="532"/>
      <c r="BH89" s="532"/>
      <c r="BI89" s="532"/>
      <c r="BJ89" s="532"/>
      <c r="BK89" s="532"/>
      <c r="BL89" s="532"/>
      <c r="BM89" s="560"/>
      <c r="BN89" s="560"/>
      <c r="BO89" s="560"/>
      <c r="BP89" s="590"/>
      <c r="BQ89" s="532"/>
      <c r="BR89" s="532"/>
      <c r="BS89" s="532"/>
      <c r="BT89" s="566"/>
      <c r="BU89" s="566"/>
      <c r="BV89" s="566"/>
      <c r="BW89" s="566"/>
      <c r="BX89" s="566"/>
      <c r="BY89" s="532"/>
      <c r="BZ89" s="532"/>
      <c r="CA89" s="575"/>
      <c r="CB89" s="532"/>
      <c r="CC89" s="532"/>
      <c r="CD89" s="532"/>
      <c r="CE89" s="532"/>
      <c r="CF89" s="532"/>
      <c r="CG89" s="532"/>
      <c r="CH89" s="576"/>
      <c r="CI89" s="577"/>
      <c r="CJ89" s="585" t="str">
        <f>IF(CJ88=0,"1",SUM(CJ68:CJ87))</f>
        <v>1</v>
      </c>
      <c r="CK89" s="583" t="str">
        <f>IF(CK88=0,"1",SUM(CK68:CK87))</f>
        <v>1</v>
      </c>
      <c r="CL89" s="532"/>
      <c r="CM89" s="532"/>
      <c r="CN89" s="532"/>
      <c r="CO89" s="532"/>
      <c r="CP89" s="20"/>
      <c r="CQ89" s="20"/>
      <c r="CR89" s="19"/>
      <c r="CS89" s="19"/>
      <c r="CT89" s="19"/>
      <c r="CU89" s="19"/>
      <c r="CV89" s="19"/>
      <c r="CW89" s="19"/>
      <c r="CX89" s="19"/>
      <c r="CY89" s="19"/>
      <c r="CZ89" s="19"/>
      <c r="DA89" s="19"/>
      <c r="DB89" s="19"/>
      <c r="DC89" s="19"/>
      <c r="DD89" s="19"/>
      <c r="DE89" s="19"/>
      <c r="DF89" s="19"/>
      <c r="DG89" s="19"/>
      <c r="DH89" s="19" t="s">
        <v>1004</v>
      </c>
      <c r="DI89" s="19">
        <f>IF(DC88=0,0,DI88/DC88)</f>
        <v>0</v>
      </c>
      <c r="DJ89" s="20"/>
      <c r="DK89" s="20"/>
      <c r="DL89" s="20"/>
      <c r="DM89" s="20"/>
      <c r="DN89" s="20"/>
      <c r="DO89" s="20"/>
      <c r="DP89" s="20"/>
      <c r="DU89" s="1064" t="e">
        <f>+DU88/DV88</f>
        <v>#DIV/0!</v>
      </c>
      <c r="DV89" s="633" t="s">
        <v>349</v>
      </c>
      <c r="DW89" s="1064" t="e">
        <f>+DW88/DX88</f>
        <v>#DIV/0!</v>
      </c>
      <c r="DX89" s="633" t="s">
        <v>349</v>
      </c>
      <c r="DY89" s="1067">
        <f>+DY88+EA88</f>
        <v>0</v>
      </c>
      <c r="DZ89" s="1067">
        <f>IF(DY89=0,0,(DZ88+EB88)/DY89*100)</f>
        <v>0</v>
      </c>
      <c r="EA89" s="1075" t="s">
        <v>888</v>
      </c>
      <c r="EB89" s="1076"/>
    </row>
    <row r="90" spans="1:151" ht="18" customHeight="1" x14ac:dyDescent="0.35">
      <c r="A90" s="1463" t="s">
        <v>1030</v>
      </c>
      <c r="B90" s="1464"/>
      <c r="C90" s="1464"/>
      <c r="D90" s="1464"/>
      <c r="E90" s="1465"/>
      <c r="F90" s="2104" t="s">
        <v>509</v>
      </c>
      <c r="G90" s="2105"/>
      <c r="H90" s="2264" t="s">
        <v>212</v>
      </c>
      <c r="I90" s="2265"/>
      <c r="J90" s="1466" t="s">
        <v>4</v>
      </c>
      <c r="K90" s="2309" t="s">
        <v>1052</v>
      </c>
      <c r="L90" s="2309"/>
      <c r="M90" s="1467" t="s">
        <v>275</v>
      </c>
      <c r="N90" s="20"/>
      <c r="P90" s="406"/>
      <c r="Q90" s="406"/>
      <c r="R90" s="532"/>
      <c r="S90" s="1273">
        <f>+S88/12</f>
        <v>0</v>
      </c>
      <c r="T90" s="1274">
        <f>+T88/12</f>
        <v>0</v>
      </c>
      <c r="U90" s="594"/>
      <c r="V90" s="585"/>
      <c r="W90" s="594"/>
      <c r="X90" s="532"/>
      <c r="Y90" s="532"/>
      <c r="Z90" s="532"/>
      <c r="AA90" s="532"/>
      <c r="AB90" s="585"/>
      <c r="AC90" s="585"/>
      <c r="AD90" s="585"/>
      <c r="AE90" s="585"/>
      <c r="AF90" s="585"/>
      <c r="AG90" s="585"/>
      <c r="AH90" s="585"/>
      <c r="AI90" s="585"/>
      <c r="AJ90" s="659"/>
      <c r="AK90" s="659"/>
      <c r="AL90" s="585">
        <f>SUMPRODUCT(AL68:AL87,DK68:DK87)</f>
        <v>0</v>
      </c>
      <c r="AM90" s="585">
        <f>SUMPRODUCT(AM68:AM87,DK68:DK87)</f>
        <v>0</v>
      </c>
      <c r="AN90" s="585"/>
      <c r="AO90" s="585">
        <f>SUMPRODUCT(AO68:AO87,DK68:DK87)</f>
        <v>0</v>
      </c>
      <c r="AP90" s="585">
        <f>SUMPRODUCT(AP68:AP87,DK68:DK87)</f>
        <v>0</v>
      </c>
      <c r="AQ90" s="585"/>
      <c r="AR90" s="659"/>
      <c r="AS90" s="585">
        <f>SUMPRODUCT(AS68:AS87,DK68:DK87)</f>
        <v>0</v>
      </c>
      <c r="AT90" s="585">
        <f>SUMPRODUCT(AT68:AT87,DK68:DK87)</f>
        <v>0</v>
      </c>
      <c r="AU90" s="585"/>
      <c r="AV90" s="585">
        <f>SUMPRODUCT(AV68:AV87,DK68:DK87)</f>
        <v>0</v>
      </c>
      <c r="AW90" s="585">
        <f>SUMPRODUCT(AW68:AW87,DK68:DK87)</f>
        <v>0</v>
      </c>
      <c r="AX90" s="585"/>
      <c r="AY90" s="532"/>
      <c r="AZ90" s="532"/>
      <c r="BA90" s="532"/>
      <c r="BB90" s="532"/>
      <c r="BC90" s="532"/>
      <c r="BD90" s="532"/>
      <c r="BE90" s="532"/>
      <c r="BF90" s="532"/>
      <c r="BG90" s="532"/>
      <c r="BH90" s="532"/>
      <c r="BI90" s="532"/>
      <c r="BJ90" s="532"/>
      <c r="BK90" s="532"/>
      <c r="BL90" s="532"/>
      <c r="BM90" s="560"/>
      <c r="BN90" s="560"/>
      <c r="BO90" s="560"/>
      <c r="BP90" s="590"/>
      <c r="BQ90" s="532"/>
      <c r="BR90" s="532"/>
      <c r="BS90" s="532"/>
      <c r="BT90" s="566"/>
      <c r="BU90" s="566"/>
      <c r="BV90" s="566"/>
      <c r="BW90" s="566"/>
      <c r="BX90" s="566"/>
      <c r="BY90" s="532"/>
      <c r="BZ90" s="532"/>
      <c r="CA90" s="575"/>
      <c r="CB90" s="532"/>
      <c r="CC90" s="532"/>
      <c r="CD90" s="532"/>
      <c r="CE90" s="532"/>
      <c r="CF90" s="532"/>
      <c r="CG90" s="532"/>
      <c r="CH90" s="1081"/>
      <c r="CI90" s="1082"/>
      <c r="CJ90" s="585"/>
      <c r="CK90" s="585"/>
      <c r="CL90" s="532"/>
      <c r="CM90" s="532"/>
      <c r="CN90" s="532"/>
      <c r="CO90" s="532"/>
      <c r="CP90" s="20"/>
      <c r="CQ90" s="20"/>
      <c r="CR90" s="19"/>
      <c r="CS90" s="19"/>
      <c r="CT90" s="19"/>
      <c r="CU90" s="19"/>
      <c r="CV90" s="19"/>
      <c r="CW90" s="19"/>
      <c r="CX90" s="19"/>
      <c r="CY90" s="19"/>
      <c r="CZ90" s="19"/>
      <c r="DA90" s="19"/>
      <c r="DB90" s="19"/>
      <c r="DC90" s="19"/>
      <c r="DD90" s="19"/>
      <c r="DE90" s="19"/>
      <c r="DF90" s="19"/>
      <c r="DG90" s="19"/>
      <c r="DH90" s="19"/>
      <c r="DI90" s="19"/>
      <c r="DJ90" s="20"/>
      <c r="DK90" s="20"/>
      <c r="DL90" s="20"/>
      <c r="DM90" s="20"/>
      <c r="DN90" s="20"/>
      <c r="DO90" s="20"/>
      <c r="DP90" s="20"/>
      <c r="DU90" s="1064"/>
      <c r="DV90" s="633"/>
      <c r="DW90" s="633"/>
      <c r="DX90" s="633"/>
      <c r="DY90" s="1067"/>
      <c r="DZ90" s="1067"/>
      <c r="EA90" s="1075"/>
      <c r="EB90" s="1076"/>
    </row>
    <row r="91" spans="1:151" ht="18" customHeight="1" thickBot="1" x14ac:dyDescent="0.25">
      <c r="A91" s="1468" t="s">
        <v>1051</v>
      </c>
      <c r="B91" s="1469"/>
      <c r="C91" s="1469"/>
      <c r="D91" s="1469"/>
      <c r="E91" s="1470"/>
      <c r="F91" s="1992" t="s">
        <v>922</v>
      </c>
      <c r="G91" s="1993"/>
      <c r="H91" s="1993"/>
      <c r="I91" s="1994"/>
      <c r="J91" s="1992" t="s">
        <v>922</v>
      </c>
      <c r="K91" s="1993"/>
      <c r="L91" s="1993"/>
      <c r="M91" s="1994"/>
      <c r="N91" s="20"/>
      <c r="P91" s="406"/>
      <c r="Q91" s="406"/>
      <c r="R91" s="458"/>
      <c r="S91" s="458"/>
      <c r="T91" s="532"/>
      <c r="U91" s="532"/>
      <c r="V91" s="532"/>
      <c r="W91" s="532"/>
      <c r="X91" s="532"/>
      <c r="Y91" s="532"/>
      <c r="Z91" s="532"/>
      <c r="AA91" s="532"/>
      <c r="AB91" s="585"/>
      <c r="AC91" s="585"/>
      <c r="AD91" s="585"/>
      <c r="AE91" s="585"/>
      <c r="AF91" s="585"/>
      <c r="AG91" s="585"/>
      <c r="AH91" s="585"/>
      <c r="AI91" s="585"/>
      <c r="AJ91" s="659"/>
      <c r="AK91" s="659"/>
      <c r="AL91" s="1966" t="s">
        <v>1103</v>
      </c>
      <c r="AM91" s="1966"/>
      <c r="AN91" s="1966"/>
      <c r="AO91" s="1966"/>
      <c r="AP91" s="1966"/>
      <c r="AQ91" s="1966"/>
      <c r="AR91" s="659"/>
      <c r="AS91" s="585"/>
      <c r="AT91" s="585"/>
      <c r="AU91" s="585"/>
      <c r="AV91" s="585"/>
      <c r="AW91" s="585"/>
      <c r="AX91" s="585"/>
      <c r="AY91" s="532"/>
      <c r="AZ91" s="532"/>
      <c r="BA91" s="532"/>
      <c r="BB91" s="532"/>
      <c r="BC91" s="532"/>
      <c r="BD91" s="532"/>
      <c r="BE91" s="532"/>
      <c r="BF91" s="532"/>
      <c r="BG91" s="532"/>
      <c r="BH91" s="532"/>
      <c r="BI91" s="532"/>
      <c r="BJ91" s="532"/>
      <c r="BK91" s="532"/>
      <c r="BL91" s="532"/>
      <c r="BM91" s="560"/>
      <c r="BN91" s="560"/>
      <c r="BO91" s="560"/>
      <c r="BP91" s="590"/>
      <c r="BQ91" s="532"/>
      <c r="BR91" s="532"/>
      <c r="BS91" s="532"/>
      <c r="BT91" s="566"/>
      <c r="BU91" s="566"/>
      <c r="BV91" s="566"/>
      <c r="BW91" s="566"/>
      <c r="BX91" s="566"/>
      <c r="BY91" s="532"/>
      <c r="BZ91" s="532"/>
      <c r="CA91" s="575"/>
      <c r="CB91" s="532"/>
      <c r="CC91" s="532"/>
      <c r="CD91" s="532"/>
      <c r="CE91" s="532"/>
      <c r="CF91" s="532"/>
      <c r="CG91" s="532"/>
      <c r="CH91" s="1081"/>
      <c r="CI91" s="1082"/>
      <c r="CJ91" s="585"/>
      <c r="CK91" s="585"/>
      <c r="CL91" s="532"/>
      <c r="CM91" s="532"/>
      <c r="CN91" s="532"/>
      <c r="CO91" s="532"/>
      <c r="CP91" s="20"/>
      <c r="CQ91" s="20"/>
      <c r="CR91" s="19"/>
      <c r="CS91" s="19"/>
      <c r="CT91" s="19"/>
      <c r="CU91" s="19"/>
      <c r="CV91" s="19"/>
      <c r="CW91" s="19"/>
      <c r="CX91" s="19"/>
      <c r="CY91" s="19"/>
      <c r="CZ91" s="19"/>
      <c r="DA91" s="19"/>
      <c r="DB91" s="19"/>
      <c r="DC91" s="19"/>
      <c r="DD91" s="19"/>
      <c r="DE91" s="19"/>
      <c r="DF91" s="19"/>
      <c r="DG91" s="19"/>
      <c r="DH91" s="19"/>
      <c r="DI91" s="19"/>
      <c r="DJ91" s="20"/>
      <c r="DK91" s="20"/>
      <c r="DL91" s="20"/>
      <c r="DM91" s="20"/>
      <c r="DN91" s="20"/>
      <c r="DO91" s="20"/>
      <c r="DP91" s="20"/>
      <c r="DU91" s="1064">
        <f>+DU88+DW88</f>
        <v>0</v>
      </c>
      <c r="DV91" s="1085">
        <f>+DV88+DX88</f>
        <v>0</v>
      </c>
      <c r="DW91" s="633"/>
      <c r="DX91" s="633"/>
      <c r="DY91" s="1067"/>
      <c r="DZ91" s="1067"/>
      <c r="EA91" s="1075"/>
      <c r="EB91" s="1076"/>
    </row>
    <row r="92" spans="1:151" ht="18" customHeight="1" x14ac:dyDescent="0.2">
      <c r="A92" s="1390" t="s">
        <v>918</v>
      </c>
      <c r="B92" s="1391"/>
      <c r="C92" s="1391"/>
      <c r="D92" s="1391"/>
      <c r="E92" s="1392"/>
      <c r="F92" s="2044">
        <f>+J88</f>
        <v>0</v>
      </c>
      <c r="G92" s="2045"/>
      <c r="H92" s="1962">
        <f>+K88</f>
        <v>0</v>
      </c>
      <c r="I92" s="1963"/>
      <c r="J92" s="1399">
        <f>+J93+J95+J99</f>
        <v>0</v>
      </c>
      <c r="K92" s="1991">
        <f>+K93+K95+K99</f>
        <v>0</v>
      </c>
      <c r="L92" s="1991"/>
      <c r="M92" s="1400">
        <f>+M93+M95+M99</f>
        <v>0</v>
      </c>
      <c r="N92" s="20"/>
      <c r="P92" s="406" t="s">
        <v>1018</v>
      </c>
      <c r="Q92" s="406"/>
      <c r="R92" s="458"/>
      <c r="S92" s="458"/>
      <c r="T92" s="532"/>
      <c r="U92" s="532"/>
      <c r="V92" s="532"/>
      <c r="W92" s="532"/>
      <c r="X92" s="532"/>
      <c r="Y92" s="532"/>
      <c r="Z92" s="532"/>
      <c r="AA92" s="532"/>
      <c r="AB92" s="585"/>
      <c r="AC92" s="585"/>
      <c r="AD92" s="585"/>
      <c r="AE92" s="585"/>
      <c r="AF92" s="585"/>
      <c r="AG92" s="585"/>
      <c r="AH92" s="585"/>
      <c r="AI92" s="585"/>
      <c r="AJ92" s="659"/>
      <c r="AK92" s="659"/>
      <c r="AL92" s="585">
        <f>+AL88-AL90</f>
        <v>0</v>
      </c>
      <c r="AM92" s="585">
        <f>+AM88-AM90</f>
        <v>0</v>
      </c>
      <c r="AN92" s="585"/>
      <c r="AO92" s="585">
        <f>+AO88-AO90</f>
        <v>0</v>
      </c>
      <c r="AP92" s="585">
        <f>+AP88-AP90</f>
        <v>0</v>
      </c>
      <c r="AQ92" s="585"/>
      <c r="AR92" s="659"/>
      <c r="AS92" s="585"/>
      <c r="AT92" s="585"/>
      <c r="AU92" s="585"/>
      <c r="AV92" s="585"/>
      <c r="AW92" s="585"/>
      <c r="AX92" s="585"/>
      <c r="AY92" s="532"/>
      <c r="AZ92" s="532"/>
      <c r="BA92" s="532"/>
      <c r="BB92" s="532"/>
      <c r="BC92" s="532"/>
      <c r="BD92" s="532"/>
      <c r="BE92" s="532"/>
      <c r="BF92" s="532"/>
      <c r="BG92" s="532"/>
      <c r="BH92" s="532"/>
      <c r="BI92" s="532"/>
      <c r="BJ92" s="532"/>
      <c r="BK92" s="532"/>
      <c r="BL92" s="532"/>
      <c r="BM92" s="560"/>
      <c r="BN92" s="560"/>
      <c r="BO92" s="560"/>
      <c r="BP92" s="590"/>
      <c r="BQ92" s="532"/>
      <c r="BR92" s="532"/>
      <c r="BS92" s="532"/>
      <c r="BT92" s="566"/>
      <c r="BU92" s="566"/>
      <c r="BV92" s="566"/>
      <c r="BW92" s="566"/>
      <c r="BX92" s="566"/>
      <c r="BY92" s="532"/>
      <c r="BZ92" s="532"/>
      <c r="CA92" s="575"/>
      <c r="CB92" s="532"/>
      <c r="CC92" s="532"/>
      <c r="CD92" s="532"/>
      <c r="CE92" s="532"/>
      <c r="CF92" s="532"/>
      <c r="CG92" s="532"/>
      <c r="CH92" s="1081"/>
      <c r="CI92" s="1082"/>
      <c r="CJ92" s="585"/>
      <c r="CK92" s="585"/>
      <c r="CL92" s="532"/>
      <c r="CM92" s="532"/>
      <c r="CN92" s="532"/>
      <c r="CO92" s="532"/>
      <c r="CP92" s="20"/>
      <c r="CQ92" s="20"/>
      <c r="CR92" s="19"/>
      <c r="CS92" s="19"/>
      <c r="CT92" s="19"/>
      <c r="CU92" s="19"/>
      <c r="CV92" s="19"/>
      <c r="CW92" s="19"/>
      <c r="CX92" s="19"/>
      <c r="CY92" s="19"/>
      <c r="CZ92" s="19"/>
      <c r="DA92" s="19"/>
      <c r="DB92" s="19"/>
      <c r="DC92" s="19"/>
      <c r="DD92" s="19"/>
      <c r="DE92" s="19"/>
      <c r="DF92" s="19"/>
      <c r="DG92" s="19"/>
      <c r="DH92" s="19"/>
      <c r="DI92" s="19"/>
      <c r="DJ92" s="20"/>
      <c r="DK92" s="20"/>
      <c r="DL92" s="20"/>
      <c r="DM92" s="20"/>
      <c r="DN92" s="20"/>
      <c r="DO92" s="20"/>
      <c r="DP92" s="20"/>
      <c r="DU92" s="1064">
        <f>IF(DV91=0,0,DU91/DV91)</f>
        <v>0</v>
      </c>
      <c r="DV92" s="633" t="s">
        <v>349</v>
      </c>
      <c r="DW92" s="633"/>
      <c r="DX92" s="633"/>
      <c r="DY92" s="1067"/>
      <c r="DZ92" s="1067"/>
      <c r="EA92" s="1075"/>
      <c r="EB92" s="1076"/>
    </row>
    <row r="93" spans="1:151" ht="18" customHeight="1" x14ac:dyDescent="0.2">
      <c r="A93" s="1393" t="s">
        <v>919</v>
      </c>
      <c r="B93" s="1394"/>
      <c r="C93" s="1394"/>
      <c r="D93" s="1394"/>
      <c r="E93" s="1395"/>
      <c r="F93" s="2115">
        <f>SUMPRODUCT(J68:J87,DK68:DK87)</f>
        <v>0</v>
      </c>
      <c r="G93" s="2116"/>
      <c r="H93" s="2054">
        <f>SUMPRODUCT(K68:K87,DK68:DK87)</f>
        <v>0</v>
      </c>
      <c r="I93" s="2055"/>
      <c r="J93" s="1401">
        <f>+DC88/1000</f>
        <v>0</v>
      </c>
      <c r="K93" s="1961">
        <f>+DD88/1000</f>
        <v>0</v>
      </c>
      <c r="L93" s="1961">
        <f>+DE88/1000</f>
        <v>0</v>
      </c>
      <c r="M93" s="1402">
        <f>+DE88/1000</f>
        <v>0</v>
      </c>
      <c r="N93" s="20"/>
      <c r="P93" s="406" t="s">
        <v>1018</v>
      </c>
      <c r="Q93" s="406"/>
      <c r="R93" s="458"/>
      <c r="S93" s="458"/>
      <c r="T93" s="532"/>
      <c r="U93" s="532"/>
      <c r="V93" s="532"/>
      <c r="W93" s="532"/>
      <c r="X93" s="532"/>
      <c r="Y93" s="532"/>
      <c r="Z93" s="532"/>
      <c r="AA93" s="532"/>
      <c r="AB93" s="585"/>
      <c r="AC93" s="585"/>
      <c r="AD93" s="585"/>
      <c r="AE93" s="585"/>
      <c r="AF93" s="585"/>
      <c r="AG93" s="585"/>
      <c r="AH93" s="585"/>
      <c r="AI93" s="585"/>
      <c r="AJ93" s="659"/>
      <c r="AK93" s="659"/>
      <c r="AL93" s="585"/>
      <c r="AM93" s="585"/>
      <c r="AN93" s="585"/>
      <c r="AO93" s="585"/>
      <c r="AP93" s="585"/>
      <c r="AQ93" s="585"/>
      <c r="AR93" s="659"/>
      <c r="AS93" s="585"/>
      <c r="AT93" s="585"/>
      <c r="AU93" s="585"/>
      <c r="AV93" s="585"/>
      <c r="AW93" s="585"/>
      <c r="AX93" s="585"/>
      <c r="AY93" s="532"/>
      <c r="AZ93" s="532"/>
      <c r="BA93" s="532"/>
      <c r="BB93" s="532"/>
      <c r="BC93" s="532"/>
      <c r="BD93" s="532"/>
      <c r="BE93" s="532"/>
      <c r="BF93" s="532"/>
      <c r="BG93" s="532"/>
      <c r="BH93" s="532"/>
      <c r="BI93" s="532"/>
      <c r="BJ93" s="532"/>
      <c r="BK93" s="532"/>
      <c r="BL93" s="532"/>
      <c r="BM93" s="560"/>
      <c r="BN93" s="560"/>
      <c r="BO93" s="560"/>
      <c r="BP93" s="590"/>
      <c r="BQ93" s="532"/>
      <c r="BR93" s="532"/>
      <c r="BS93" s="532"/>
      <c r="BT93" s="566"/>
      <c r="BU93" s="566"/>
      <c r="BV93" s="566"/>
      <c r="BW93" s="566"/>
      <c r="BX93" s="566"/>
      <c r="BY93" s="532"/>
      <c r="BZ93" s="532"/>
      <c r="CA93" s="575"/>
      <c r="CB93" s="532"/>
      <c r="CC93" s="532"/>
      <c r="CD93" s="532"/>
      <c r="CE93" s="532"/>
      <c r="CF93" s="532"/>
      <c r="CG93" s="532"/>
      <c r="CH93" s="1081"/>
      <c r="CI93" s="1082"/>
      <c r="CJ93" s="585"/>
      <c r="CK93" s="585"/>
      <c r="CL93" s="532"/>
      <c r="CM93" s="532"/>
      <c r="CN93" s="532"/>
      <c r="CO93" s="532"/>
      <c r="CP93" s="20"/>
      <c r="CQ93" s="20"/>
      <c r="CR93" s="19"/>
      <c r="CS93" s="19"/>
      <c r="CT93" s="19"/>
      <c r="CU93" s="19"/>
      <c r="CV93" s="19"/>
      <c r="CW93" s="19"/>
      <c r="CX93" s="19"/>
      <c r="CY93" s="19"/>
      <c r="CZ93" s="19"/>
      <c r="DA93" s="19"/>
      <c r="DB93" s="19"/>
      <c r="DC93" s="19"/>
      <c r="DD93" s="19"/>
      <c r="DE93" s="19"/>
      <c r="DF93" s="19"/>
      <c r="DG93" s="19"/>
      <c r="DH93" s="19"/>
      <c r="DI93" s="19"/>
      <c r="DJ93" s="20"/>
      <c r="DK93" s="20"/>
      <c r="DL93" s="20"/>
      <c r="DM93" s="20"/>
      <c r="DN93" s="20"/>
      <c r="DO93" s="20"/>
      <c r="DP93" s="20"/>
      <c r="DU93" s="1064" t="s">
        <v>355</v>
      </c>
      <c r="DV93" s="633" t="s">
        <v>221</v>
      </c>
      <c r="DW93" s="633" t="s">
        <v>357</v>
      </c>
      <c r="DX93" s="633"/>
      <c r="DY93" s="1067"/>
      <c r="DZ93" s="1067"/>
      <c r="EA93" s="1075"/>
      <c r="EB93" s="1076"/>
    </row>
    <row r="94" spans="1:151" ht="18" hidden="1" customHeight="1" x14ac:dyDescent="0.2">
      <c r="A94" s="1393"/>
      <c r="B94" s="1394"/>
      <c r="C94" s="1394"/>
      <c r="D94" s="1394"/>
      <c r="E94" s="1395"/>
      <c r="F94" s="1573"/>
      <c r="G94" s="1574"/>
      <c r="H94" s="1571"/>
      <c r="I94" s="1572"/>
      <c r="J94" s="1401">
        <f>+(AS90+AV90)/2/1000</f>
        <v>0</v>
      </c>
      <c r="K94" s="1961">
        <f>+(AT90+AW90)/2/1000</f>
        <v>0</v>
      </c>
      <c r="L94" s="1961"/>
      <c r="M94" s="1402"/>
      <c r="N94" s="20"/>
      <c r="P94" s="406" t="s">
        <v>294</v>
      </c>
      <c r="Q94" s="1575" t="s">
        <v>1118</v>
      </c>
      <c r="R94" s="458"/>
      <c r="S94" s="458"/>
      <c r="T94" s="532"/>
      <c r="U94" s="532"/>
      <c r="V94" s="532"/>
      <c r="W94" s="532"/>
      <c r="X94" s="532"/>
      <c r="Y94" s="532"/>
      <c r="Z94" s="532"/>
      <c r="AA94" s="532"/>
      <c r="AB94" s="585"/>
      <c r="AC94" s="585"/>
      <c r="AD94" s="585"/>
      <c r="AE94" s="585"/>
      <c r="AF94" s="585"/>
      <c r="AG94" s="585"/>
      <c r="AH94" s="585"/>
      <c r="AI94" s="585"/>
      <c r="AJ94" s="659"/>
      <c r="AK94" s="659"/>
      <c r="AL94" s="585"/>
      <c r="AM94" s="585"/>
      <c r="AN94" s="585"/>
      <c r="AO94" s="585"/>
      <c r="AP94" s="585"/>
      <c r="AQ94" s="585"/>
      <c r="AR94" s="659"/>
      <c r="AS94" s="585"/>
      <c r="AT94" s="585"/>
      <c r="AU94" s="585"/>
      <c r="AV94" s="585"/>
      <c r="AW94" s="585"/>
      <c r="AX94" s="585"/>
      <c r="AY94" s="532"/>
      <c r="AZ94" s="532"/>
      <c r="BA94" s="532"/>
      <c r="BB94" s="532"/>
      <c r="BC94" s="532"/>
      <c r="BD94" s="532"/>
      <c r="BE94" s="532"/>
      <c r="BF94" s="532"/>
      <c r="BG94" s="532"/>
      <c r="BH94" s="532"/>
      <c r="BI94" s="532"/>
      <c r="BJ94" s="532"/>
      <c r="BK94" s="532"/>
      <c r="BL94" s="532"/>
      <c r="BM94" s="560"/>
      <c r="BN94" s="560"/>
      <c r="BO94" s="560"/>
      <c r="BP94" s="590"/>
      <c r="BQ94" s="532"/>
      <c r="BR94" s="532"/>
      <c r="BS94" s="532"/>
      <c r="BT94" s="566"/>
      <c r="BU94" s="566"/>
      <c r="BV94" s="566"/>
      <c r="BW94" s="566"/>
      <c r="BX94" s="566"/>
      <c r="BY94" s="532"/>
      <c r="BZ94" s="532"/>
      <c r="CA94" s="575"/>
      <c r="CB94" s="532"/>
      <c r="CC94" s="532"/>
      <c r="CD94" s="532"/>
      <c r="CE94" s="532"/>
      <c r="CF94" s="532"/>
      <c r="CG94" s="532"/>
      <c r="CH94" s="1081"/>
      <c r="CI94" s="1082"/>
      <c r="CJ94" s="585"/>
      <c r="CK94" s="585"/>
      <c r="CL94" s="532"/>
      <c r="CM94" s="532"/>
      <c r="CN94" s="532"/>
      <c r="CO94" s="532"/>
      <c r="CP94" s="20"/>
      <c r="CQ94" s="20"/>
      <c r="CR94" s="19"/>
      <c r="CS94" s="19"/>
      <c r="CT94" s="19"/>
      <c r="CU94" s="19"/>
      <c r="CV94" s="19"/>
      <c r="CW94" s="19"/>
      <c r="CX94" s="19"/>
      <c r="CY94" s="19"/>
      <c r="CZ94" s="19"/>
      <c r="DA94" s="19"/>
      <c r="DB94" s="19"/>
      <c r="DC94" s="19"/>
      <c r="DD94" s="19"/>
      <c r="DE94" s="19"/>
      <c r="DF94" s="19"/>
      <c r="DG94" s="19"/>
      <c r="DH94" s="19"/>
      <c r="DI94" s="19"/>
      <c r="DJ94" s="20"/>
      <c r="DK94" s="20"/>
      <c r="DL94" s="20"/>
      <c r="DM94" s="20"/>
      <c r="DN94" s="20"/>
      <c r="DO94" s="20"/>
      <c r="DP94" s="20"/>
      <c r="DU94" s="1064"/>
      <c r="DV94" s="633"/>
      <c r="DW94" s="633"/>
      <c r="DX94" s="633"/>
      <c r="DY94" s="1067"/>
      <c r="DZ94" s="1067"/>
      <c r="EA94" s="1075"/>
      <c r="EB94" s="1076"/>
    </row>
    <row r="95" spans="1:151" ht="18" customHeight="1" x14ac:dyDescent="0.2">
      <c r="A95" s="1393" t="s">
        <v>920</v>
      </c>
      <c r="B95" s="1394"/>
      <c r="C95" s="1394"/>
      <c r="D95" s="1394"/>
      <c r="E95" s="1395"/>
      <c r="F95" s="2115">
        <f>+F92-F93</f>
        <v>0</v>
      </c>
      <c r="G95" s="2116"/>
      <c r="H95" s="2054">
        <f>+H92-H93</f>
        <v>0</v>
      </c>
      <c r="I95" s="2055"/>
      <c r="J95" s="1401">
        <f>+CW88/1000</f>
        <v>0</v>
      </c>
      <c r="K95" s="1961">
        <f>+CX88/1000</f>
        <v>0</v>
      </c>
      <c r="L95" s="1961"/>
      <c r="M95" s="1402">
        <f>+CY88/1000</f>
        <v>0</v>
      </c>
      <c r="N95" s="20"/>
      <c r="P95" s="406" t="s">
        <v>1018</v>
      </c>
      <c r="Q95" s="406"/>
      <c r="R95" s="458"/>
      <c r="S95" s="458"/>
      <c r="T95" s="532"/>
      <c r="U95" s="532"/>
      <c r="V95" s="532"/>
      <c r="W95" s="532"/>
      <c r="X95" s="532"/>
      <c r="Y95" s="532"/>
      <c r="Z95" s="532"/>
      <c r="AA95" s="532"/>
      <c r="AB95" s="585"/>
      <c r="AC95" s="585"/>
      <c r="AD95" s="585"/>
      <c r="AE95" s="585"/>
      <c r="AF95" s="585"/>
      <c r="AG95" s="585"/>
      <c r="AH95" s="585"/>
      <c r="AI95" s="585"/>
      <c r="AJ95" s="659"/>
      <c r="AK95" s="659"/>
      <c r="AL95" s="585"/>
      <c r="AM95" s="585"/>
      <c r="AN95" s="585"/>
      <c r="AO95" s="585"/>
      <c r="AP95" s="585"/>
      <c r="AQ95" s="585"/>
      <c r="AR95" s="659"/>
      <c r="AS95" s="585"/>
      <c r="AT95" s="585"/>
      <c r="AU95" s="585"/>
      <c r="AV95" s="585"/>
      <c r="AW95" s="585"/>
      <c r="AX95" s="585"/>
      <c r="AY95" s="532"/>
      <c r="AZ95" s="532"/>
      <c r="BA95" s="532"/>
      <c r="BB95" s="532"/>
      <c r="BC95" s="532"/>
      <c r="BD95" s="532"/>
      <c r="BE95" s="532"/>
      <c r="BF95" s="532"/>
      <c r="BG95" s="532"/>
      <c r="BH95" s="532"/>
      <c r="BI95" s="532"/>
      <c r="BJ95" s="532"/>
      <c r="BK95" s="532"/>
      <c r="BL95" s="532"/>
      <c r="BM95" s="560"/>
      <c r="BN95" s="560"/>
      <c r="BO95" s="560"/>
      <c r="BP95" s="590"/>
      <c r="BQ95" s="532"/>
      <c r="BR95" s="532"/>
      <c r="BS95" s="532"/>
      <c r="BT95" s="566"/>
      <c r="BU95" s="566"/>
      <c r="BV95" s="566"/>
      <c r="BW95" s="566"/>
      <c r="BX95" s="566"/>
      <c r="BY95" s="532"/>
      <c r="BZ95" s="532"/>
      <c r="CA95" s="575"/>
      <c r="CB95" s="532"/>
      <c r="CC95" s="532"/>
      <c r="CD95" s="532"/>
      <c r="CE95" s="532"/>
      <c r="CF95" s="532"/>
      <c r="CG95" s="532"/>
      <c r="CH95" s="1081"/>
      <c r="CI95" s="1082"/>
      <c r="CJ95" s="585"/>
      <c r="CK95" s="585"/>
      <c r="CL95" s="532"/>
      <c r="CM95" s="532"/>
      <c r="CN95" s="532"/>
      <c r="CO95" s="532"/>
      <c r="CP95" s="20"/>
      <c r="CQ95" s="20"/>
      <c r="CR95" s="19"/>
      <c r="CS95" s="19"/>
      <c r="CT95" s="19"/>
      <c r="CU95" s="19"/>
      <c r="CV95" s="19"/>
      <c r="CW95" s="19"/>
      <c r="CX95" s="19"/>
      <c r="CY95" s="19"/>
      <c r="CZ95" s="19"/>
      <c r="DA95" s="19"/>
      <c r="DB95" s="19"/>
      <c r="DC95" s="19"/>
      <c r="DD95" s="19"/>
      <c r="DE95" s="19"/>
      <c r="DF95" s="19"/>
      <c r="DG95" s="19"/>
      <c r="DH95" s="19"/>
      <c r="DI95" s="19"/>
      <c r="DJ95" s="20"/>
      <c r="DK95" s="20"/>
      <c r="DL95" s="20"/>
      <c r="DM95" s="20"/>
      <c r="DN95" s="20"/>
      <c r="DO95" s="20"/>
      <c r="DP95" s="20"/>
      <c r="DU95" s="1064">
        <f>+DV91</f>
        <v>0</v>
      </c>
      <c r="DV95" s="633">
        <f>+DU95*DU92/100</f>
        <v>0</v>
      </c>
      <c r="DW95" s="1086">
        <f>+DU95-DV95</f>
        <v>0</v>
      </c>
      <c r="DX95" s="633"/>
      <c r="DY95" s="1067"/>
      <c r="DZ95" s="1067"/>
      <c r="EA95" s="1075"/>
      <c r="EB95" s="1076"/>
    </row>
    <row r="96" spans="1:151" ht="12.75" customHeight="1" x14ac:dyDescent="0.2">
      <c r="A96" s="1566" t="s">
        <v>1109</v>
      </c>
      <c r="B96" s="1567"/>
      <c r="C96" s="1567"/>
      <c r="D96" s="1567"/>
      <c r="E96" s="1568"/>
      <c r="F96" s="2111">
        <f>+F95</f>
        <v>0</v>
      </c>
      <c r="G96" s="2112"/>
      <c r="H96" s="2046"/>
      <c r="I96" s="2047"/>
      <c r="J96" s="1593">
        <f>+CZ88/1000</f>
        <v>0</v>
      </c>
      <c r="K96" s="1930">
        <f>+DA88/1000</f>
        <v>0</v>
      </c>
      <c r="L96" s="1930"/>
      <c r="M96" s="1569"/>
      <c r="N96" s="20"/>
      <c r="P96" s="406"/>
      <c r="Q96" s="406"/>
      <c r="R96" s="406"/>
      <c r="S96" s="406"/>
      <c r="T96" s="532"/>
      <c r="U96" s="532"/>
      <c r="V96" s="532"/>
      <c r="W96" s="532"/>
      <c r="X96" s="532"/>
      <c r="Y96" s="532"/>
      <c r="Z96" s="532"/>
      <c r="AA96" s="532"/>
      <c r="AB96" s="585"/>
      <c r="AC96" s="585"/>
      <c r="AD96" s="585"/>
      <c r="AE96" s="585"/>
      <c r="AF96" s="585"/>
      <c r="AG96" s="585"/>
      <c r="AH96" s="585"/>
      <c r="AI96" s="585"/>
      <c r="AJ96" s="659"/>
      <c r="AK96" s="659"/>
      <c r="AL96" s="585"/>
      <c r="AM96" s="585"/>
      <c r="AN96" s="585"/>
      <c r="AO96" s="585"/>
      <c r="AP96" s="585"/>
      <c r="AQ96" s="585"/>
      <c r="AR96" s="659"/>
      <c r="AS96" s="585"/>
      <c r="AT96" s="585"/>
      <c r="AU96" s="585"/>
      <c r="AV96" s="585"/>
      <c r="AW96" s="585"/>
      <c r="AX96" s="585"/>
      <c r="AY96" s="532"/>
      <c r="AZ96" s="532"/>
      <c r="BA96" s="532"/>
      <c r="BB96" s="532"/>
      <c r="BC96" s="532"/>
      <c r="BD96" s="532"/>
      <c r="BE96" s="532"/>
      <c r="BF96" s="532"/>
      <c r="BG96" s="532"/>
      <c r="BH96" s="532"/>
      <c r="BI96" s="532"/>
      <c r="BJ96" s="532"/>
      <c r="BK96" s="532"/>
      <c r="BL96" s="532"/>
      <c r="BM96" s="560"/>
      <c r="BN96" s="560"/>
      <c r="BO96" s="560"/>
      <c r="BP96" s="590"/>
      <c r="BQ96" s="532"/>
      <c r="BR96" s="532"/>
      <c r="BS96" s="532"/>
      <c r="BT96" s="566"/>
      <c r="BU96" s="566"/>
      <c r="BV96" s="566"/>
      <c r="BW96" s="566"/>
      <c r="BX96" s="566"/>
      <c r="BY96" s="532"/>
      <c r="BZ96" s="532"/>
      <c r="CA96" s="575"/>
      <c r="CB96" s="532"/>
      <c r="CC96" s="532"/>
      <c r="CD96" s="532"/>
      <c r="CE96" s="532"/>
      <c r="CF96" s="532"/>
      <c r="CG96" s="532"/>
      <c r="CH96" s="1081"/>
      <c r="CI96" s="1082"/>
      <c r="CJ96" s="585"/>
      <c r="CK96" s="585"/>
      <c r="CL96" s="532"/>
      <c r="CM96" s="532"/>
      <c r="CN96" s="532"/>
      <c r="CO96" s="532"/>
      <c r="CP96" s="20"/>
      <c r="CQ96" s="20"/>
      <c r="CR96" s="19"/>
      <c r="CS96" s="19"/>
      <c r="CT96" s="19"/>
      <c r="CU96" s="19"/>
      <c r="CV96" s="19"/>
      <c r="CW96" s="19"/>
      <c r="CX96" s="19"/>
      <c r="CY96" s="19"/>
      <c r="CZ96" s="19"/>
      <c r="DA96" s="19"/>
      <c r="DB96" s="19"/>
      <c r="DC96" s="19"/>
      <c r="DD96" s="19"/>
      <c r="DE96" s="19"/>
      <c r="DF96" s="19"/>
      <c r="DG96" s="19"/>
      <c r="DH96" s="19"/>
      <c r="DI96" s="19"/>
      <c r="DJ96" s="20"/>
      <c r="DK96" s="20"/>
      <c r="DL96" s="20"/>
      <c r="DM96" s="20"/>
      <c r="DN96" s="20"/>
      <c r="DO96" s="20"/>
      <c r="DP96" s="20"/>
      <c r="DU96" s="1064"/>
      <c r="DV96" s="633"/>
      <c r="DW96" s="1086"/>
      <c r="DX96" s="633"/>
      <c r="DY96" s="1067"/>
      <c r="DZ96" s="1067"/>
      <c r="EA96" s="1075"/>
      <c r="EB96" s="1076"/>
    </row>
    <row r="97" spans="1:151" ht="12.75" customHeight="1" x14ac:dyDescent="0.2">
      <c r="A97" s="1566" t="s">
        <v>1110</v>
      </c>
      <c r="B97" s="1567"/>
      <c r="C97" s="1567"/>
      <c r="D97" s="1567"/>
      <c r="E97" s="1568"/>
      <c r="F97" s="2109"/>
      <c r="G97" s="2110"/>
      <c r="H97" s="2048">
        <f>+H95</f>
        <v>0</v>
      </c>
      <c r="I97" s="2049"/>
      <c r="J97" s="1593">
        <f>+J95-J96</f>
        <v>0</v>
      </c>
      <c r="K97" s="1930">
        <f>+K95-K96</f>
        <v>0</v>
      </c>
      <c r="L97" s="1930"/>
      <c r="M97" s="1569"/>
      <c r="N97" s="20"/>
      <c r="P97" s="406" t="s">
        <v>1018</v>
      </c>
      <c r="Q97" s="406"/>
      <c r="R97" s="406"/>
      <c r="S97" s="406"/>
      <c r="T97" s="532"/>
      <c r="U97" s="532"/>
      <c r="V97" s="532"/>
      <c r="W97" s="532"/>
      <c r="X97" s="532"/>
      <c r="Y97" s="532"/>
      <c r="Z97" s="532"/>
      <c r="AA97" s="532"/>
      <c r="AB97" s="585"/>
      <c r="AC97" s="585"/>
      <c r="AD97" s="585"/>
      <c r="AE97" s="585"/>
      <c r="AF97" s="585"/>
      <c r="AG97" s="585"/>
      <c r="AH97" s="585"/>
      <c r="AI97" s="585"/>
      <c r="AJ97" s="659"/>
      <c r="AK97" s="659"/>
      <c r="AL97" s="585"/>
      <c r="AM97" s="585"/>
      <c r="AN97" s="585"/>
      <c r="AO97" s="585"/>
      <c r="AP97" s="585"/>
      <c r="AQ97" s="585"/>
      <c r="AR97" s="659"/>
      <c r="AS97" s="585"/>
      <c r="AT97" s="585"/>
      <c r="AU97" s="585"/>
      <c r="AV97" s="585"/>
      <c r="AW97" s="585"/>
      <c r="AX97" s="585"/>
      <c r="AY97" s="532"/>
      <c r="AZ97" s="532"/>
      <c r="BA97" s="532"/>
      <c r="BB97" s="532"/>
      <c r="BC97" s="532"/>
      <c r="BD97" s="532"/>
      <c r="BE97" s="532"/>
      <c r="BF97" s="532"/>
      <c r="BG97" s="532"/>
      <c r="BH97" s="532"/>
      <c r="BI97" s="532"/>
      <c r="BJ97" s="532"/>
      <c r="BK97" s="532"/>
      <c r="BL97" s="532"/>
      <c r="BM97" s="560"/>
      <c r="BN97" s="560"/>
      <c r="BO97" s="560"/>
      <c r="BP97" s="590"/>
      <c r="BQ97" s="532"/>
      <c r="BR97" s="532"/>
      <c r="BS97" s="532"/>
      <c r="BT97" s="566"/>
      <c r="BU97" s="566"/>
      <c r="BV97" s="566"/>
      <c r="BW97" s="566"/>
      <c r="BX97" s="566"/>
      <c r="BY97" s="532"/>
      <c r="BZ97" s="532"/>
      <c r="CA97" s="575"/>
      <c r="CB97" s="532"/>
      <c r="CC97" s="532"/>
      <c r="CD97" s="532"/>
      <c r="CE97" s="532"/>
      <c r="CF97" s="532"/>
      <c r="CG97" s="532"/>
      <c r="CH97" s="1081"/>
      <c r="CI97" s="1082"/>
      <c r="CJ97" s="585"/>
      <c r="CK97" s="585"/>
      <c r="CL97" s="532"/>
      <c r="CM97" s="532"/>
      <c r="CN97" s="532"/>
      <c r="CO97" s="532"/>
      <c r="CP97" s="20"/>
      <c r="CQ97" s="20"/>
      <c r="CR97" s="19"/>
      <c r="CS97" s="19"/>
      <c r="CT97" s="19"/>
      <c r="CU97" s="19"/>
      <c r="CV97" s="19"/>
      <c r="CW97" s="19"/>
      <c r="CX97" s="19"/>
      <c r="CY97" s="19"/>
      <c r="CZ97" s="19"/>
      <c r="DA97" s="19"/>
      <c r="DB97" s="19"/>
      <c r="DC97" s="19"/>
      <c r="DD97" s="19"/>
      <c r="DE97" s="19"/>
      <c r="DF97" s="19"/>
      <c r="DG97" s="19"/>
      <c r="DH97" s="19"/>
      <c r="DI97" s="19"/>
      <c r="DJ97" s="20"/>
      <c r="DK97" s="20"/>
      <c r="DL97" s="20"/>
      <c r="DM97" s="20"/>
      <c r="DN97" s="20"/>
      <c r="DO97" s="20"/>
      <c r="DP97" s="20"/>
      <c r="DU97" s="1064"/>
      <c r="DV97" s="633"/>
      <c r="DW97" s="1086"/>
      <c r="DX97" s="633"/>
      <c r="DY97" s="1067"/>
      <c r="DZ97" s="1067"/>
      <c r="EA97" s="1075"/>
      <c r="EB97" s="1076"/>
    </row>
    <row r="98" spans="1:151" ht="18" hidden="1" customHeight="1" x14ac:dyDescent="0.2">
      <c r="A98" s="1393" t="s">
        <v>967</v>
      </c>
      <c r="B98" s="1558"/>
      <c r="C98" s="1558"/>
      <c r="D98" s="1558"/>
      <c r="E98" s="1559"/>
      <c r="F98" s="1560"/>
      <c r="G98" s="1561"/>
      <c r="H98" s="2050"/>
      <c r="I98" s="2051"/>
      <c r="J98" s="1562">
        <f>+J97-(AL92+AO92)/2/1000</f>
        <v>0</v>
      </c>
      <c r="K98" s="2310">
        <f>+K97-(AM92+AP92)/2/1000</f>
        <v>0</v>
      </c>
      <c r="L98" s="2310"/>
      <c r="M98" s="1563"/>
      <c r="N98" s="20"/>
      <c r="P98" s="633" t="s">
        <v>294</v>
      </c>
      <c r="Q98" s="1575" t="s">
        <v>1118</v>
      </c>
      <c r="R98" s="406"/>
      <c r="S98" s="406"/>
      <c r="T98" s="532"/>
      <c r="U98" s="532"/>
      <c r="V98" s="532"/>
      <c r="W98" s="532"/>
      <c r="X98" s="532"/>
      <c r="Y98" s="532"/>
      <c r="Z98" s="532"/>
      <c r="AA98" s="532"/>
      <c r="AB98" s="585"/>
      <c r="AC98" s="585"/>
      <c r="AD98" s="585"/>
      <c r="AE98" s="585"/>
      <c r="AF98" s="585"/>
      <c r="AG98" s="585"/>
      <c r="AH98" s="585"/>
      <c r="AI98" s="585"/>
      <c r="AJ98" s="659"/>
      <c r="AK98" s="659"/>
      <c r="AL98" s="585"/>
      <c r="AM98" s="585"/>
      <c r="AN98" s="585"/>
      <c r="AO98" s="585"/>
      <c r="AP98" s="585"/>
      <c r="AQ98" s="585"/>
      <c r="AR98" s="659"/>
      <c r="AS98" s="585"/>
      <c r="AT98" s="585"/>
      <c r="AU98" s="585"/>
      <c r="AV98" s="585"/>
      <c r="AW98" s="585"/>
      <c r="AX98" s="585"/>
      <c r="AY98" s="532"/>
      <c r="AZ98" s="532"/>
      <c r="BA98" s="532"/>
      <c r="BB98" s="532"/>
      <c r="BC98" s="532"/>
      <c r="BD98" s="532"/>
      <c r="BE98" s="532"/>
      <c r="BF98" s="532"/>
      <c r="BG98" s="532"/>
      <c r="BH98" s="532"/>
      <c r="BI98" s="532"/>
      <c r="BJ98" s="532"/>
      <c r="BK98" s="532"/>
      <c r="BL98" s="532"/>
      <c r="BM98" s="560"/>
      <c r="BN98" s="560"/>
      <c r="BO98" s="560"/>
      <c r="BP98" s="590"/>
      <c r="BQ98" s="532"/>
      <c r="BR98" s="532"/>
      <c r="BS98" s="532"/>
      <c r="BT98" s="566"/>
      <c r="BU98" s="566"/>
      <c r="BV98" s="566"/>
      <c r="BW98" s="566"/>
      <c r="BX98" s="566"/>
      <c r="BY98" s="532"/>
      <c r="BZ98" s="532"/>
      <c r="CA98" s="575"/>
      <c r="CB98" s="532"/>
      <c r="CC98" s="532"/>
      <c r="CD98" s="532"/>
      <c r="CE98" s="532"/>
      <c r="CF98" s="532"/>
      <c r="CG98" s="532"/>
      <c r="CH98" s="1081"/>
      <c r="CI98" s="1082"/>
      <c r="CJ98" s="585"/>
      <c r="CK98" s="585"/>
      <c r="CL98" s="532"/>
      <c r="CM98" s="532"/>
      <c r="CN98" s="532"/>
      <c r="CO98" s="532"/>
      <c r="CP98" s="20"/>
      <c r="CQ98" s="20"/>
      <c r="CR98" s="19"/>
      <c r="CS98" s="19"/>
      <c r="CT98" s="19"/>
      <c r="CU98" s="19"/>
      <c r="CV98" s="19"/>
      <c r="CW98" s="19"/>
      <c r="CX98" s="19"/>
      <c r="CY98" s="19"/>
      <c r="CZ98" s="19"/>
      <c r="DA98" s="19"/>
      <c r="DB98" s="19"/>
      <c r="DC98" s="19"/>
      <c r="DD98" s="19"/>
      <c r="DE98" s="19"/>
      <c r="DF98" s="19"/>
      <c r="DG98" s="19"/>
      <c r="DH98" s="19"/>
      <c r="DI98" s="19"/>
      <c r="DJ98" s="20"/>
      <c r="DK98" s="20"/>
      <c r="DL98" s="20"/>
      <c r="DM98" s="20"/>
      <c r="DN98" s="20"/>
      <c r="DO98" s="20"/>
      <c r="DP98" s="20"/>
      <c r="DU98" s="1064"/>
      <c r="DV98" s="633"/>
      <c r="DW98" s="1086"/>
      <c r="DX98" s="633"/>
      <c r="DY98" s="1067"/>
      <c r="DZ98" s="1067"/>
      <c r="EA98" s="1075"/>
      <c r="EB98" s="1076"/>
    </row>
    <row r="99" spans="1:151" ht="18" customHeight="1" thickBot="1" x14ac:dyDescent="0.25">
      <c r="A99" s="1396" t="s">
        <v>921</v>
      </c>
      <c r="B99" s="1397"/>
      <c r="C99" s="1397"/>
      <c r="D99" s="1397"/>
      <c r="E99" s="1398"/>
      <c r="F99" s="2042">
        <v>0</v>
      </c>
      <c r="G99" s="2043"/>
      <c r="H99" s="2276">
        <v>0</v>
      </c>
      <c r="I99" s="2277"/>
      <c r="J99" s="1403">
        <f>+CT88/1000</f>
        <v>0</v>
      </c>
      <c r="K99" s="2311">
        <f>+CU88/1000</f>
        <v>0</v>
      </c>
      <c r="L99" s="2311"/>
      <c r="M99" s="1404">
        <f>+CV88/1000</f>
        <v>0</v>
      </c>
      <c r="N99" s="20"/>
      <c r="P99" s="406" t="s">
        <v>1019</v>
      </c>
      <c r="Q99" s="406"/>
      <c r="R99" s="406"/>
      <c r="S99" s="406"/>
      <c r="T99" s="532"/>
      <c r="U99" s="532"/>
      <c r="V99" s="532"/>
      <c r="W99" s="532"/>
      <c r="X99" s="532"/>
      <c r="Y99" s="532"/>
      <c r="Z99" s="532"/>
      <c r="AA99" s="532"/>
      <c r="AB99" s="585"/>
      <c r="AC99" s="585"/>
      <c r="AD99" s="585"/>
      <c r="AE99" s="585"/>
      <c r="AF99" s="585"/>
      <c r="AG99" s="585"/>
      <c r="AH99" s="585"/>
      <c r="AI99" s="585"/>
      <c r="AJ99" s="659"/>
      <c r="AK99" s="659"/>
      <c r="AL99" s="585"/>
      <c r="AM99" s="585"/>
      <c r="AN99" s="585"/>
      <c r="AO99" s="585"/>
      <c r="AP99" s="585"/>
      <c r="AQ99" s="585"/>
      <c r="AR99" s="659"/>
      <c r="AS99" s="585"/>
      <c r="AT99" s="585"/>
      <c r="AU99" s="585"/>
      <c r="AV99" s="585"/>
      <c r="AW99" s="585"/>
      <c r="AX99" s="585"/>
      <c r="AY99" s="532"/>
      <c r="AZ99" s="532"/>
      <c r="BA99" s="532"/>
      <c r="BB99" s="532"/>
      <c r="BC99" s="532"/>
      <c r="BD99" s="532"/>
      <c r="BE99" s="532"/>
      <c r="BF99" s="532"/>
      <c r="BG99" s="532"/>
      <c r="BH99" s="532"/>
      <c r="BI99" s="532"/>
      <c r="BJ99" s="532"/>
      <c r="BK99" s="532"/>
      <c r="BL99" s="532"/>
      <c r="BM99" s="560"/>
      <c r="BN99" s="560"/>
      <c r="BO99" s="560"/>
      <c r="BP99" s="590"/>
      <c r="BQ99" s="532"/>
      <c r="BR99" s="532"/>
      <c r="BS99" s="532"/>
      <c r="BT99" s="566"/>
      <c r="BU99" s="566"/>
      <c r="BV99" s="566"/>
      <c r="BW99" s="566"/>
      <c r="BX99" s="566"/>
      <c r="BY99" s="532"/>
      <c r="BZ99" s="532"/>
      <c r="CA99" s="575"/>
      <c r="CB99" s="532"/>
      <c r="CC99" s="532"/>
      <c r="CD99" s="532"/>
      <c r="CE99" s="532"/>
      <c r="CF99" s="532"/>
      <c r="CG99" s="532"/>
      <c r="CH99" s="1081"/>
      <c r="CI99" s="1082"/>
      <c r="CJ99" s="585"/>
      <c r="CK99" s="585"/>
      <c r="CL99" s="532"/>
      <c r="CM99" s="532"/>
      <c r="CN99" s="532"/>
      <c r="CO99" s="532"/>
      <c r="CP99" s="20"/>
      <c r="CQ99" s="20"/>
      <c r="CR99" s="19"/>
      <c r="CS99" s="19"/>
      <c r="CT99" s="19"/>
      <c r="CU99" s="19"/>
      <c r="CV99" s="19"/>
      <c r="CW99" s="19"/>
      <c r="CX99" s="19"/>
      <c r="CY99" s="19"/>
      <c r="CZ99" s="19"/>
      <c r="DA99" s="19"/>
      <c r="DB99" s="19"/>
      <c r="DC99" s="19"/>
      <c r="DD99" s="19"/>
      <c r="DE99" s="19"/>
      <c r="DF99" s="19"/>
      <c r="DG99" s="19"/>
      <c r="DH99" s="19"/>
      <c r="DI99" s="19"/>
      <c r="DJ99" s="20"/>
      <c r="DK99" s="20"/>
      <c r="DL99" s="20"/>
      <c r="DM99" s="20"/>
      <c r="DN99" s="20"/>
      <c r="DO99" s="20"/>
      <c r="DP99" s="20"/>
      <c r="DU99" s="1064"/>
      <c r="DV99" s="633"/>
      <c r="DW99" s="633"/>
      <c r="DX99" s="633"/>
      <c r="DY99" s="1067"/>
      <c r="DZ99" s="1067"/>
      <c r="EA99" s="1075"/>
      <c r="EB99" s="1076"/>
    </row>
    <row r="100" spans="1:151" ht="18" customHeight="1" thickBot="1" x14ac:dyDescent="0.25">
      <c r="A100" s="700"/>
      <c r="B100" s="32"/>
      <c r="C100" s="32"/>
      <c r="D100" s="32"/>
      <c r="E100" s="32"/>
      <c r="F100" s="19"/>
      <c r="G100" s="19"/>
      <c r="H100" s="19"/>
      <c r="I100" s="19"/>
      <c r="J100" s="1253"/>
      <c r="K100" s="1253"/>
      <c r="L100" s="1253"/>
      <c r="M100" s="1253"/>
      <c r="N100" s="20"/>
      <c r="P100" s="406"/>
      <c r="Q100" s="406"/>
      <c r="R100" s="406"/>
      <c r="S100" s="406"/>
      <c r="T100" s="532"/>
      <c r="U100" s="532"/>
      <c r="V100" s="532"/>
      <c r="W100" s="532"/>
      <c r="X100" s="532"/>
      <c r="Y100" s="532"/>
      <c r="Z100" s="532"/>
      <c r="AA100" s="532"/>
      <c r="AB100" s="585"/>
      <c r="AC100" s="585"/>
      <c r="AD100" s="585"/>
      <c r="AE100" s="585"/>
      <c r="AF100" s="585"/>
      <c r="AG100" s="585"/>
      <c r="AH100" s="585"/>
      <c r="AI100" s="585"/>
      <c r="AJ100" s="659"/>
      <c r="AK100" s="659"/>
      <c r="AL100" s="585"/>
      <c r="AM100" s="585"/>
      <c r="AN100" s="585"/>
      <c r="AO100" s="585"/>
      <c r="AP100" s="585"/>
      <c r="AQ100" s="585"/>
      <c r="AR100" s="659"/>
      <c r="AS100" s="585"/>
      <c r="AT100" s="585"/>
      <c r="AU100" s="585"/>
      <c r="AV100" s="585"/>
      <c r="AW100" s="585"/>
      <c r="AX100" s="585"/>
      <c r="AY100" s="532"/>
      <c r="AZ100" s="532"/>
      <c r="BA100" s="532"/>
      <c r="BB100" s="532"/>
      <c r="BC100" s="532"/>
      <c r="BD100" s="532"/>
      <c r="BE100" s="532"/>
      <c r="BF100" s="532"/>
      <c r="BG100" s="532"/>
      <c r="BH100" s="532"/>
      <c r="BI100" s="532"/>
      <c r="BJ100" s="532"/>
      <c r="BK100" s="532"/>
      <c r="BL100" s="532"/>
      <c r="BM100" s="560"/>
      <c r="BN100" s="560"/>
      <c r="BO100" s="560"/>
      <c r="BP100" s="590"/>
      <c r="BQ100" s="532"/>
      <c r="BR100" s="532"/>
      <c r="BS100" s="532"/>
      <c r="BT100" s="566"/>
      <c r="BU100" s="566"/>
      <c r="BV100" s="566"/>
      <c r="BW100" s="566"/>
      <c r="BX100" s="566"/>
      <c r="BY100" s="532"/>
      <c r="BZ100" s="532"/>
      <c r="CA100" s="575"/>
      <c r="CB100" s="532"/>
      <c r="CC100" s="532"/>
      <c r="CD100" s="532"/>
      <c r="CE100" s="532"/>
      <c r="CF100" s="532"/>
      <c r="CG100" s="532"/>
      <c r="CH100" s="1081"/>
      <c r="CI100" s="1082"/>
      <c r="CJ100" s="585"/>
      <c r="CK100" s="585"/>
      <c r="CL100" s="532"/>
      <c r="CM100" s="532"/>
      <c r="CN100" s="532"/>
      <c r="CO100" s="532"/>
      <c r="CP100" s="20"/>
      <c r="CQ100" s="20"/>
      <c r="CR100" s="19"/>
      <c r="CS100" s="19"/>
      <c r="CT100" s="19"/>
      <c r="CU100" s="19"/>
      <c r="CV100" s="19"/>
      <c r="CW100" s="19"/>
      <c r="CX100" s="19"/>
      <c r="CY100" s="19"/>
      <c r="CZ100" s="19"/>
      <c r="DA100" s="19"/>
      <c r="DB100" s="19"/>
      <c r="DC100" s="19"/>
      <c r="DD100" s="19"/>
      <c r="DE100" s="19"/>
      <c r="DF100" s="19"/>
      <c r="DG100" s="19"/>
      <c r="DH100" s="19"/>
      <c r="DI100" s="19"/>
      <c r="DJ100" s="20"/>
      <c r="DK100" s="20"/>
      <c r="DL100" s="20"/>
      <c r="DM100" s="20"/>
      <c r="DN100" s="20"/>
      <c r="DO100" s="20"/>
      <c r="DP100" s="20"/>
      <c r="DU100" s="1064"/>
      <c r="DV100" s="633"/>
      <c r="DW100" s="633"/>
      <c r="DX100" s="633"/>
      <c r="DY100" s="1067"/>
      <c r="DZ100" s="1067"/>
      <c r="EA100" s="1075"/>
      <c r="EB100" s="1076"/>
    </row>
    <row r="101" spans="1:151" ht="18" customHeight="1" x14ac:dyDescent="0.2">
      <c r="A101" s="1587" t="s">
        <v>1262</v>
      </c>
      <c r="B101" s="1588"/>
      <c r="C101" s="1588"/>
      <c r="D101" s="1591" t="str">
        <f>IF(J99&gt;0,IF(D102&lt;0.1,"Flächenangabe fehlt"," ")," ")</f>
        <v xml:space="preserve"> </v>
      </c>
      <c r="E101" s="1589"/>
      <c r="F101" s="19"/>
      <c r="G101" s="19"/>
      <c r="H101" s="19"/>
      <c r="I101" s="19"/>
      <c r="J101" s="1253"/>
      <c r="K101" s="1253"/>
      <c r="L101" s="1253"/>
      <c r="M101" s="1253"/>
      <c r="N101" s="20"/>
      <c r="P101" s="406"/>
      <c r="Q101" s="406"/>
      <c r="R101" s="406"/>
      <c r="S101" s="406"/>
      <c r="T101" s="532"/>
      <c r="U101" s="532"/>
      <c r="V101" s="532"/>
      <c r="W101" s="532"/>
      <c r="X101" s="532"/>
      <c r="Y101" s="532"/>
      <c r="Z101" s="532"/>
      <c r="AA101" s="532"/>
      <c r="AB101" s="585"/>
      <c r="AC101" s="585"/>
      <c r="AD101" s="585"/>
      <c r="AE101" s="585"/>
      <c r="AF101" s="585"/>
      <c r="AG101" s="585"/>
      <c r="AH101" s="585"/>
      <c r="AI101" s="585"/>
      <c r="AJ101" s="659"/>
      <c r="AK101" s="659"/>
      <c r="AL101" s="585"/>
      <c r="AM101" s="585"/>
      <c r="AN101" s="585"/>
      <c r="AO101" s="585"/>
      <c r="AP101" s="585"/>
      <c r="AQ101" s="585"/>
      <c r="AR101" s="659"/>
      <c r="AS101" s="585"/>
      <c r="AT101" s="585"/>
      <c r="AU101" s="585"/>
      <c r="AV101" s="585"/>
      <c r="AW101" s="585"/>
      <c r="AX101" s="585"/>
      <c r="AY101" s="532"/>
      <c r="AZ101" s="532"/>
      <c r="BA101" s="532"/>
      <c r="BB101" s="532"/>
      <c r="BC101" s="532"/>
      <c r="BD101" s="532"/>
      <c r="BE101" s="532"/>
      <c r="BF101" s="532"/>
      <c r="BG101" s="532"/>
      <c r="BH101" s="532"/>
      <c r="BI101" s="532"/>
      <c r="BJ101" s="532"/>
      <c r="BK101" s="532"/>
      <c r="BL101" s="532"/>
      <c r="BM101" s="560"/>
      <c r="BN101" s="560"/>
      <c r="BO101" s="560"/>
      <c r="BP101" s="590"/>
      <c r="BQ101" s="532"/>
      <c r="BR101" s="532"/>
      <c r="BS101" s="532"/>
      <c r="BT101" s="566"/>
      <c r="BU101" s="566"/>
      <c r="BV101" s="566"/>
      <c r="BW101" s="566"/>
      <c r="BX101" s="566"/>
      <c r="BY101" s="532"/>
      <c r="BZ101" s="532"/>
      <c r="CA101" s="575"/>
      <c r="CB101" s="532"/>
      <c r="CC101" s="532"/>
      <c r="CD101" s="532"/>
      <c r="CE101" s="532"/>
      <c r="CF101" s="532"/>
      <c r="CG101" s="532"/>
      <c r="CH101" s="1081"/>
      <c r="CI101" s="1082"/>
      <c r="CJ101" s="585"/>
      <c r="CK101" s="585"/>
      <c r="CL101" s="532"/>
      <c r="CM101" s="532"/>
      <c r="CN101" s="532"/>
      <c r="CO101" s="532"/>
      <c r="CP101" s="20"/>
      <c r="CQ101" s="20"/>
      <c r="CR101" s="19"/>
      <c r="CS101" s="19"/>
      <c r="CT101" s="19"/>
      <c r="CU101" s="19"/>
      <c r="CV101" s="19"/>
      <c r="CW101" s="19"/>
      <c r="CX101" s="19"/>
      <c r="CY101" s="19"/>
      <c r="CZ101" s="19"/>
      <c r="DA101" s="19"/>
      <c r="DB101" s="19"/>
      <c r="DC101" s="19"/>
      <c r="DD101" s="19"/>
      <c r="DE101" s="19"/>
      <c r="DF101" s="19"/>
      <c r="DG101" s="19"/>
      <c r="DH101" s="19"/>
      <c r="DI101" s="19"/>
      <c r="DJ101" s="20"/>
      <c r="DK101" s="20"/>
      <c r="DL101" s="20"/>
      <c r="DM101" s="20"/>
      <c r="DN101" s="20"/>
      <c r="DO101" s="20"/>
      <c r="DP101" s="20"/>
      <c r="DU101" s="1064"/>
      <c r="DV101" s="633"/>
      <c r="DW101" s="633"/>
      <c r="DX101" s="633"/>
      <c r="DY101" s="1067"/>
      <c r="DZ101" s="1067"/>
      <c r="EA101" s="1075"/>
      <c r="EB101" s="1076"/>
    </row>
    <row r="102" spans="1:151" ht="18" customHeight="1" x14ac:dyDescent="0.2">
      <c r="A102" s="1836" t="s">
        <v>1015</v>
      </c>
      <c r="B102" s="1837"/>
      <c r="C102" s="1837"/>
      <c r="D102" s="1590">
        <v>0</v>
      </c>
      <c r="E102" s="1254" t="s">
        <v>392</v>
      </c>
      <c r="F102" s="1594" t="str">
        <f>IF(D102&gt;G5,"Weidefläche zu hoch"," ")</f>
        <v xml:space="preserve"> </v>
      </c>
      <c r="G102" s="19"/>
      <c r="H102" s="19"/>
      <c r="I102" s="19"/>
      <c r="J102" s="1253"/>
      <c r="K102" s="1253"/>
      <c r="L102" s="1253"/>
      <c r="M102" s="1253"/>
      <c r="N102" s="20"/>
      <c r="P102" s="406"/>
      <c r="Q102" s="406"/>
      <c r="R102" s="406"/>
      <c r="S102" s="406"/>
      <c r="T102" s="532"/>
      <c r="U102" s="532"/>
      <c r="V102" s="532"/>
      <c r="W102" s="532"/>
      <c r="X102" s="532"/>
      <c r="Y102" s="532"/>
      <c r="Z102" s="532"/>
      <c r="AA102" s="532"/>
      <c r="AB102" s="585"/>
      <c r="AC102" s="585"/>
      <c r="AD102" s="585"/>
      <c r="AE102" s="585"/>
      <c r="AF102" s="585"/>
      <c r="AG102" s="585"/>
      <c r="AH102" s="585"/>
      <c r="AI102" s="585"/>
      <c r="AJ102" s="659"/>
      <c r="AK102" s="659"/>
      <c r="AL102" s="585"/>
      <c r="AM102" s="585"/>
      <c r="AN102" s="585"/>
      <c r="AO102" s="585"/>
      <c r="AP102" s="585"/>
      <c r="AQ102" s="585"/>
      <c r="AR102" s="659"/>
      <c r="AS102" s="585"/>
      <c r="AT102" s="585"/>
      <c r="AU102" s="585"/>
      <c r="AV102" s="585"/>
      <c r="AW102" s="585"/>
      <c r="AX102" s="585"/>
      <c r="AY102" s="532"/>
      <c r="AZ102" s="532"/>
      <c r="BA102" s="532"/>
      <c r="BB102" s="532"/>
      <c r="BC102" s="532"/>
      <c r="BD102" s="532"/>
      <c r="BE102" s="532"/>
      <c r="BF102" s="532"/>
      <c r="BG102" s="532"/>
      <c r="BH102" s="532"/>
      <c r="BI102" s="532"/>
      <c r="BJ102" s="532"/>
      <c r="BK102" s="532"/>
      <c r="BL102" s="532"/>
      <c r="BM102" s="560"/>
      <c r="BN102" s="560"/>
      <c r="BO102" s="560"/>
      <c r="BP102" s="590"/>
      <c r="BQ102" s="532"/>
      <c r="BR102" s="532"/>
      <c r="BS102" s="532"/>
      <c r="BT102" s="566"/>
      <c r="BU102" s="566"/>
      <c r="BV102" s="566"/>
      <c r="BW102" s="566"/>
      <c r="BX102" s="566"/>
      <c r="BY102" s="532"/>
      <c r="BZ102" s="532"/>
      <c r="CA102" s="575"/>
      <c r="CB102" s="532"/>
      <c r="CC102" s="532"/>
      <c r="CD102" s="532"/>
      <c r="CE102" s="532"/>
      <c r="CF102" s="532"/>
      <c r="CG102" s="532"/>
      <c r="CH102" s="1081"/>
      <c r="CI102" s="1082"/>
      <c r="CJ102" s="585"/>
      <c r="CK102" s="585"/>
      <c r="CL102" s="532"/>
      <c r="CM102" s="532"/>
      <c r="CN102" s="532"/>
      <c r="CO102" s="532"/>
      <c r="CP102" s="20"/>
      <c r="CQ102" s="20"/>
      <c r="CR102" s="19"/>
      <c r="CS102" s="19"/>
      <c r="CT102" s="19"/>
      <c r="CU102" s="19"/>
      <c r="CV102" s="19"/>
      <c r="CW102" s="19"/>
      <c r="CX102" s="19"/>
      <c r="CY102" s="19"/>
      <c r="CZ102" s="19"/>
      <c r="DA102" s="19"/>
      <c r="DB102" s="19"/>
      <c r="DC102" s="19"/>
      <c r="DD102" s="19"/>
      <c r="DE102" s="19"/>
      <c r="DF102" s="19"/>
      <c r="DG102" s="19"/>
      <c r="DH102" s="19"/>
      <c r="DI102" s="19"/>
      <c r="DJ102" s="20"/>
      <c r="DK102" s="20"/>
      <c r="DL102" s="20"/>
      <c r="DM102" s="20"/>
      <c r="DN102" s="20"/>
      <c r="DO102" s="20"/>
      <c r="DP102" s="20"/>
      <c r="DU102" s="1064"/>
      <c r="DV102" s="633"/>
      <c r="DW102" s="633"/>
      <c r="DX102" s="633"/>
      <c r="DY102" s="1067"/>
      <c r="DZ102" s="1067"/>
      <c r="EA102" s="1075"/>
      <c r="EB102" s="1076"/>
    </row>
    <row r="103" spans="1:151" ht="18" customHeight="1" x14ac:dyDescent="0.2">
      <c r="A103" s="1836" t="s">
        <v>1016</v>
      </c>
      <c r="B103" s="1837"/>
      <c r="C103" s="1837"/>
      <c r="D103" s="1583">
        <f>IF(D102=0,0,J99*1000/D102)</f>
        <v>0</v>
      </c>
      <c r="E103" s="1254" t="s">
        <v>4</v>
      </c>
      <c r="F103" s="19"/>
      <c r="G103" s="19"/>
      <c r="H103" s="19"/>
      <c r="I103" s="19"/>
      <c r="J103" s="1253"/>
      <c r="K103" s="1253"/>
      <c r="L103" s="1253"/>
      <c r="M103" s="1253"/>
      <c r="N103" s="20"/>
      <c r="P103" s="406"/>
      <c r="Q103" s="406"/>
      <c r="R103" s="406"/>
      <c r="S103" s="406"/>
      <c r="T103" s="532"/>
      <c r="U103" s="532"/>
      <c r="V103" s="532"/>
      <c r="W103" s="532"/>
      <c r="X103" s="532"/>
      <c r="Y103" s="532"/>
      <c r="Z103" s="532"/>
      <c r="AA103" s="532"/>
      <c r="AB103" s="585"/>
      <c r="AC103" s="585"/>
      <c r="AD103" s="585"/>
      <c r="AE103" s="585"/>
      <c r="AF103" s="585"/>
      <c r="AG103" s="585"/>
      <c r="AH103" s="585"/>
      <c r="AI103" s="585"/>
      <c r="AJ103" s="659"/>
      <c r="AK103" s="659"/>
      <c r="AL103" s="585"/>
      <c r="AM103" s="585"/>
      <c r="AN103" s="585"/>
      <c r="AO103" s="585"/>
      <c r="AP103" s="585"/>
      <c r="AQ103" s="585"/>
      <c r="AR103" s="659"/>
      <c r="AS103" s="585"/>
      <c r="AT103" s="585"/>
      <c r="AU103" s="585"/>
      <c r="AV103" s="585"/>
      <c r="AW103" s="585"/>
      <c r="AX103" s="585"/>
      <c r="AY103" s="532"/>
      <c r="AZ103" s="532"/>
      <c r="BA103" s="532"/>
      <c r="BB103" s="532"/>
      <c r="BC103" s="532"/>
      <c r="BD103" s="532"/>
      <c r="BE103" s="532"/>
      <c r="BF103" s="532"/>
      <c r="BG103" s="532"/>
      <c r="BH103" s="532"/>
      <c r="BI103" s="532"/>
      <c r="BJ103" s="532"/>
      <c r="BK103" s="532"/>
      <c r="BL103" s="532"/>
      <c r="BM103" s="560"/>
      <c r="BN103" s="560"/>
      <c r="BO103" s="560"/>
      <c r="BP103" s="590"/>
      <c r="BQ103" s="532"/>
      <c r="BR103" s="532"/>
      <c r="BS103" s="532"/>
      <c r="BT103" s="566"/>
      <c r="BU103" s="566"/>
      <c r="BV103" s="566"/>
      <c r="BW103" s="566"/>
      <c r="BX103" s="566"/>
      <c r="BY103" s="532"/>
      <c r="BZ103" s="532"/>
      <c r="CA103" s="575"/>
      <c r="CB103" s="532"/>
      <c r="CC103" s="532"/>
      <c r="CD103" s="532"/>
      <c r="CE103" s="532"/>
      <c r="CF103" s="532"/>
      <c r="CG103" s="532"/>
      <c r="CH103" s="1081"/>
      <c r="CI103" s="1082"/>
      <c r="CJ103" s="585"/>
      <c r="CK103" s="585"/>
      <c r="CL103" s="532"/>
      <c r="CM103" s="532"/>
      <c r="CN103" s="532"/>
      <c r="CO103" s="532"/>
      <c r="CP103" s="20"/>
      <c r="CQ103" s="20"/>
      <c r="CR103" s="19"/>
      <c r="CS103" s="19"/>
      <c r="CT103" s="19"/>
      <c r="CU103" s="19"/>
      <c r="CV103" s="19"/>
      <c r="CW103" s="19"/>
      <c r="CX103" s="19"/>
      <c r="CY103" s="19"/>
      <c r="CZ103" s="19"/>
      <c r="DA103" s="19"/>
      <c r="DB103" s="19"/>
      <c r="DC103" s="19"/>
      <c r="DD103" s="19"/>
      <c r="DE103" s="19"/>
      <c r="DF103" s="19"/>
      <c r="DG103" s="19"/>
      <c r="DH103" s="19"/>
      <c r="DI103" s="19"/>
      <c r="DJ103" s="20"/>
      <c r="DK103" s="20"/>
      <c r="DL103" s="20"/>
      <c r="DM103" s="20"/>
      <c r="DN103" s="20"/>
      <c r="DO103" s="20"/>
      <c r="DP103" s="20"/>
      <c r="DU103" s="1064"/>
      <c r="DV103" s="633"/>
      <c r="DW103" s="633"/>
      <c r="DX103" s="633"/>
      <c r="DY103" s="1067"/>
      <c r="DZ103" s="1067"/>
      <c r="EA103" s="1075"/>
      <c r="EB103" s="1076"/>
    </row>
    <row r="104" spans="1:151" ht="18" customHeight="1" x14ac:dyDescent="0.2">
      <c r="A104" s="1836"/>
      <c r="B104" s="1837"/>
      <c r="C104" s="1837"/>
      <c r="D104" s="1583">
        <f>IF(D102=0,0,K99*1000/D102)</f>
        <v>0</v>
      </c>
      <c r="E104" s="1254" t="s">
        <v>389</v>
      </c>
      <c r="F104" s="19"/>
      <c r="G104" s="19"/>
      <c r="H104" s="19"/>
      <c r="I104" s="19"/>
      <c r="J104" s="1253"/>
      <c r="K104" s="1253"/>
      <c r="L104" s="1253"/>
      <c r="M104" s="1253"/>
      <c r="N104" s="20"/>
      <c r="P104" s="406"/>
      <c r="Q104" s="406"/>
      <c r="R104" s="406"/>
      <c r="S104" s="406"/>
      <c r="T104" s="532"/>
      <c r="U104" s="532"/>
      <c r="V104" s="532"/>
      <c r="W104" s="532"/>
      <c r="X104" s="532"/>
      <c r="Y104" s="532"/>
      <c r="Z104" s="532"/>
      <c r="AA104" s="532"/>
      <c r="AB104" s="585"/>
      <c r="AC104" s="585"/>
      <c r="AD104" s="585"/>
      <c r="AE104" s="585"/>
      <c r="AF104" s="585"/>
      <c r="AG104" s="585"/>
      <c r="AH104" s="585"/>
      <c r="AI104" s="585"/>
      <c r="AJ104" s="659"/>
      <c r="AK104" s="659"/>
      <c r="AL104" s="585"/>
      <c r="AM104" s="585"/>
      <c r="AN104" s="585"/>
      <c r="AO104" s="585"/>
      <c r="AP104" s="585"/>
      <c r="AQ104" s="585"/>
      <c r="AR104" s="659"/>
      <c r="AS104" s="585"/>
      <c r="AT104" s="585"/>
      <c r="AU104" s="585"/>
      <c r="AV104" s="585"/>
      <c r="AW104" s="585"/>
      <c r="AX104" s="585"/>
      <c r="AY104" s="532"/>
      <c r="AZ104" s="532"/>
      <c r="BA104" s="532"/>
      <c r="BB104" s="532"/>
      <c r="BC104" s="532"/>
      <c r="BD104" s="532"/>
      <c r="BE104" s="532"/>
      <c r="BF104" s="532"/>
      <c r="BG104" s="532"/>
      <c r="BH104" s="532"/>
      <c r="BI104" s="532"/>
      <c r="BJ104" s="532"/>
      <c r="BK104" s="532"/>
      <c r="BL104" s="532"/>
      <c r="BM104" s="560"/>
      <c r="BN104" s="560"/>
      <c r="BO104" s="560"/>
      <c r="BP104" s="590"/>
      <c r="BQ104" s="532"/>
      <c r="BR104" s="532"/>
      <c r="BS104" s="532"/>
      <c r="BT104" s="566"/>
      <c r="BU104" s="566"/>
      <c r="BV104" s="566"/>
      <c r="BW104" s="566"/>
      <c r="BX104" s="566"/>
      <c r="BY104" s="532"/>
      <c r="BZ104" s="532"/>
      <c r="CA104" s="575"/>
      <c r="CB104" s="532"/>
      <c r="CC104" s="532"/>
      <c r="CD104" s="532"/>
      <c r="CE104" s="532"/>
      <c r="CF104" s="532"/>
      <c r="CG104" s="532"/>
      <c r="CH104" s="1081"/>
      <c r="CI104" s="1082"/>
      <c r="CJ104" s="585"/>
      <c r="CK104" s="585"/>
      <c r="CL104" s="532"/>
      <c r="CM104" s="532"/>
      <c r="CN104" s="532"/>
      <c r="CO104" s="532"/>
      <c r="CP104" s="20"/>
      <c r="CQ104" s="20"/>
      <c r="CR104" s="19"/>
      <c r="CS104" s="19"/>
      <c r="CT104" s="19"/>
      <c r="CU104" s="19"/>
      <c r="CV104" s="19"/>
      <c r="CW104" s="19"/>
      <c r="CX104" s="19"/>
      <c r="CY104" s="19"/>
      <c r="CZ104" s="19"/>
      <c r="DA104" s="19"/>
      <c r="DB104" s="19"/>
      <c r="DC104" s="19"/>
      <c r="DD104" s="19"/>
      <c r="DE104" s="19"/>
      <c r="DF104" s="19"/>
      <c r="DG104" s="19"/>
      <c r="DH104" s="19"/>
      <c r="DI104" s="19"/>
      <c r="DJ104" s="20"/>
      <c r="DK104" s="20"/>
      <c r="DL104" s="20"/>
      <c r="DM104" s="20"/>
      <c r="DN104" s="20"/>
      <c r="DO104" s="20"/>
      <c r="DP104" s="20"/>
      <c r="DU104" s="1064"/>
      <c r="DV104" s="633"/>
      <c r="DW104" s="633"/>
      <c r="DX104" s="633"/>
      <c r="DY104" s="1067"/>
      <c r="DZ104" s="1067"/>
      <c r="EA104" s="1075"/>
      <c r="EB104" s="1076"/>
    </row>
    <row r="105" spans="1:151" ht="18" customHeight="1" thickBot="1" x14ac:dyDescent="0.25">
      <c r="A105" s="1838"/>
      <c r="B105" s="1839"/>
      <c r="C105" s="1839"/>
      <c r="D105" s="1584">
        <f>IF(D102=0,0,M99*1000/D102)</f>
        <v>0</v>
      </c>
      <c r="E105" s="1255" t="s">
        <v>390</v>
      </c>
      <c r="F105" s="19"/>
      <c r="G105" s="19"/>
      <c r="H105" s="19"/>
      <c r="I105" s="19"/>
      <c r="J105" s="1253"/>
      <c r="K105" s="1253"/>
      <c r="L105" s="1253"/>
      <c r="M105" s="1253"/>
      <c r="N105" s="20"/>
      <c r="P105" s="406"/>
      <c r="Q105" s="406"/>
      <c r="R105" s="406"/>
      <c r="S105" s="406"/>
      <c r="T105" s="532"/>
      <c r="U105" s="532"/>
      <c r="V105" s="532"/>
      <c r="W105" s="532"/>
      <c r="X105" s="532"/>
      <c r="Y105" s="532"/>
      <c r="Z105" s="532"/>
      <c r="AA105" s="532"/>
      <c r="AB105" s="585"/>
      <c r="AC105" s="585"/>
      <c r="AD105" s="585"/>
      <c r="AE105" s="585"/>
      <c r="AF105" s="585"/>
      <c r="AG105" s="585"/>
      <c r="AH105" s="585"/>
      <c r="AI105" s="585"/>
      <c r="AJ105" s="659"/>
      <c r="AK105" s="659"/>
      <c r="AL105" s="585"/>
      <c r="AM105" s="585"/>
      <c r="AN105" s="585"/>
      <c r="AO105" s="585"/>
      <c r="AP105" s="585"/>
      <c r="AQ105" s="585"/>
      <c r="AR105" s="659"/>
      <c r="AS105" s="585"/>
      <c r="AT105" s="585"/>
      <c r="AU105" s="585"/>
      <c r="AV105" s="585"/>
      <c r="AW105" s="585"/>
      <c r="AX105" s="585"/>
      <c r="AY105" s="532"/>
      <c r="AZ105" s="532"/>
      <c r="BA105" s="532"/>
      <c r="BB105" s="532"/>
      <c r="BC105" s="532"/>
      <c r="BD105" s="532"/>
      <c r="BE105" s="532"/>
      <c r="BF105" s="532"/>
      <c r="BG105" s="532"/>
      <c r="BH105" s="532"/>
      <c r="BI105" s="532"/>
      <c r="BJ105" s="532"/>
      <c r="BK105" s="532"/>
      <c r="BL105" s="532"/>
      <c r="BM105" s="560"/>
      <c r="BN105" s="560"/>
      <c r="BO105" s="560"/>
      <c r="BP105" s="590"/>
      <c r="BQ105" s="532"/>
      <c r="BR105" s="532"/>
      <c r="BS105" s="532"/>
      <c r="BT105" s="566"/>
      <c r="BU105" s="566"/>
      <c r="BV105" s="566"/>
      <c r="BW105" s="566"/>
      <c r="BX105" s="566"/>
      <c r="BY105" s="532"/>
      <c r="BZ105" s="532"/>
      <c r="CA105" s="575"/>
      <c r="CB105" s="532"/>
      <c r="CC105" s="532"/>
      <c r="CD105" s="532"/>
      <c r="CE105" s="532"/>
      <c r="CF105" s="532"/>
      <c r="CG105" s="532"/>
      <c r="CH105" s="1081"/>
      <c r="CI105" s="1082"/>
      <c r="CJ105" s="585"/>
      <c r="CK105" s="585"/>
      <c r="CL105" s="532"/>
      <c r="CM105" s="532"/>
      <c r="CN105" s="532"/>
      <c r="CO105" s="532"/>
      <c r="CP105" s="20"/>
      <c r="CQ105" s="20"/>
      <c r="CR105" s="19"/>
      <c r="CS105" s="19"/>
      <c r="CT105" s="19"/>
      <c r="CU105" s="19"/>
      <c r="CV105" s="19"/>
      <c r="CW105" s="19"/>
      <c r="CX105" s="19"/>
      <c r="CY105" s="19"/>
      <c r="CZ105" s="19"/>
      <c r="DA105" s="19"/>
      <c r="DB105" s="19"/>
      <c r="DC105" s="19"/>
      <c r="DD105" s="19"/>
      <c r="DE105" s="19"/>
      <c r="DF105" s="19"/>
      <c r="DG105" s="19"/>
      <c r="DH105" s="19"/>
      <c r="DI105" s="19"/>
      <c r="DJ105" s="20"/>
      <c r="DK105" s="20"/>
      <c r="DL105" s="20"/>
      <c r="DM105" s="20"/>
      <c r="DN105" s="20"/>
      <c r="DO105" s="20"/>
      <c r="DP105" s="20"/>
      <c r="DU105" s="1064"/>
      <c r="DV105" s="633"/>
      <c r="DW105" s="633"/>
      <c r="DX105" s="633"/>
      <c r="DY105" s="1067"/>
      <c r="DZ105" s="1067"/>
      <c r="EA105" s="1075"/>
      <c r="EB105" s="1076"/>
    </row>
    <row r="106" spans="1:151" ht="32.25" customHeight="1" x14ac:dyDescent="0.2">
      <c r="A106" s="406"/>
      <c r="B106" s="406"/>
      <c r="C106" s="406"/>
      <c r="D106" s="406"/>
      <c r="E106" s="406"/>
      <c r="F106" s="406"/>
      <c r="G106" s="406"/>
      <c r="H106" s="406"/>
      <c r="I106" s="406"/>
      <c r="J106" s="406"/>
      <c r="K106" s="406"/>
      <c r="L106" s="406"/>
      <c r="M106" s="406"/>
      <c r="N106" s="20"/>
      <c r="P106" s="406"/>
      <c r="Q106" s="406"/>
      <c r="R106" s="532"/>
      <c r="S106" s="532"/>
      <c r="T106" s="532"/>
      <c r="U106" s="532"/>
      <c r="V106" s="532"/>
      <c r="W106" s="532"/>
      <c r="X106" s="532"/>
      <c r="Y106" s="532"/>
      <c r="Z106" s="585"/>
      <c r="AA106" s="585"/>
      <c r="AB106" s="585"/>
      <c r="AC106" s="585"/>
      <c r="AD106" s="585"/>
      <c r="AE106" s="585"/>
      <c r="AF106" s="585"/>
      <c r="AG106" s="585"/>
      <c r="AH106" s="585"/>
      <c r="AI106" s="585"/>
      <c r="AJ106" s="585"/>
      <c r="AK106" s="585"/>
      <c r="AL106" s="585"/>
      <c r="AM106" s="585"/>
      <c r="AN106" s="585"/>
      <c r="AO106" s="585"/>
      <c r="AP106" s="585"/>
      <c r="AQ106" s="585"/>
      <c r="AR106" s="585"/>
      <c r="AS106" s="585"/>
      <c r="AT106" s="585"/>
      <c r="AU106" s="585"/>
      <c r="AV106" s="585"/>
      <c r="AW106" s="532"/>
      <c r="AX106" s="532"/>
      <c r="AY106" s="532"/>
      <c r="AZ106" s="532"/>
      <c r="BA106" s="532"/>
      <c r="BB106" s="532"/>
      <c r="BC106" s="532"/>
      <c r="BD106" s="532"/>
      <c r="BE106" s="532"/>
      <c r="BF106" s="532"/>
      <c r="BG106" s="532"/>
      <c r="BH106" s="532"/>
      <c r="BI106" s="532"/>
      <c r="BJ106" s="532"/>
      <c r="BK106" s="560"/>
      <c r="BL106" s="560"/>
      <c r="BM106" s="560"/>
      <c r="BN106" s="590"/>
      <c r="BO106" s="532"/>
      <c r="BP106" s="532"/>
      <c r="BQ106" s="532"/>
      <c r="BR106" s="566"/>
      <c r="BS106" s="566"/>
      <c r="BT106" s="566"/>
      <c r="BU106" s="566"/>
      <c r="BV106" s="566"/>
      <c r="BW106" s="532"/>
      <c r="BX106" s="532"/>
      <c r="BY106" s="532"/>
      <c r="BZ106" s="532"/>
      <c r="CA106" s="532"/>
      <c r="CB106" s="532"/>
      <c r="CC106" s="532"/>
      <c r="CD106" s="532"/>
      <c r="CE106" s="532"/>
      <c r="CF106" s="532"/>
      <c r="CG106" s="560"/>
      <c r="CH106" s="585"/>
      <c r="CI106" s="585"/>
      <c r="CJ106" s="532"/>
      <c r="CK106" s="532"/>
      <c r="CL106" s="532"/>
      <c r="CM106" s="532"/>
      <c r="CN106" s="20"/>
      <c r="CO106" s="20"/>
      <c r="CP106" s="19"/>
      <c r="CQ106" s="19"/>
      <c r="CR106" s="19"/>
      <c r="CS106" s="19"/>
      <c r="CT106" s="19"/>
      <c r="CU106" s="19"/>
      <c r="CV106" s="19"/>
      <c r="CW106" s="19"/>
      <c r="CX106" s="19"/>
      <c r="CY106" s="19"/>
      <c r="CZ106" s="19"/>
      <c r="DA106" s="19"/>
      <c r="DB106" s="19"/>
      <c r="DC106" s="19"/>
      <c r="DD106" s="19"/>
      <c r="DE106" s="19"/>
      <c r="DF106" s="20"/>
      <c r="DG106" s="20"/>
      <c r="DH106" s="20"/>
      <c r="DI106" s="20"/>
      <c r="DJ106" s="20"/>
      <c r="DK106" s="20"/>
      <c r="DL106" s="20"/>
      <c r="DM106" s="20"/>
      <c r="DN106" s="20"/>
    </row>
    <row r="107" spans="1:151" ht="16.5" customHeight="1" x14ac:dyDescent="0.2">
      <c r="A107" s="1108" t="s">
        <v>1031</v>
      </c>
      <c r="B107" s="680"/>
      <c r="C107" s="680"/>
      <c r="D107" s="680"/>
      <c r="E107" s="680"/>
      <c r="F107" s="680"/>
      <c r="G107" s="680"/>
      <c r="H107" s="680"/>
      <c r="I107" s="680"/>
      <c r="J107" s="680"/>
      <c r="K107" s="680"/>
      <c r="L107" s="680"/>
      <c r="M107" s="680"/>
      <c r="N107" s="20"/>
      <c r="P107" s="406"/>
      <c r="Q107" s="406"/>
      <c r="R107" s="532"/>
      <c r="S107" s="532"/>
      <c r="T107" s="532"/>
      <c r="U107" s="532"/>
      <c r="V107" s="532"/>
      <c r="W107" s="532"/>
      <c r="X107" s="532"/>
      <c r="Y107" s="532"/>
      <c r="Z107" s="585"/>
      <c r="AA107" s="585"/>
      <c r="AB107" s="585"/>
      <c r="AC107" s="585"/>
      <c r="AD107" s="585"/>
      <c r="AE107" s="585"/>
      <c r="AF107" s="585"/>
      <c r="AG107" s="585"/>
      <c r="AH107" s="585"/>
      <c r="AI107" s="585"/>
      <c r="AJ107" s="585"/>
      <c r="AK107" s="585"/>
      <c r="AL107" s="585"/>
      <c r="AM107" s="585"/>
      <c r="AN107" s="585"/>
      <c r="AO107" s="585"/>
      <c r="AP107" s="585"/>
      <c r="AQ107" s="585"/>
      <c r="AR107" s="585"/>
      <c r="AS107" s="585"/>
      <c r="AT107" s="585"/>
      <c r="AU107" s="585"/>
      <c r="AV107" s="585"/>
      <c r="AW107" s="532"/>
      <c r="AX107" s="532"/>
      <c r="AY107" s="532"/>
      <c r="AZ107" s="532"/>
      <c r="BA107" s="532"/>
      <c r="BB107" s="532"/>
      <c r="BC107" s="532"/>
      <c r="BD107" s="532"/>
      <c r="BE107" s="532"/>
      <c r="BF107" s="532"/>
      <c r="BG107" s="532"/>
      <c r="BH107" s="532"/>
      <c r="BI107" s="532"/>
      <c r="BJ107" s="532"/>
      <c r="BK107" s="560"/>
      <c r="BL107" s="560"/>
      <c r="BM107" s="560"/>
      <c r="BN107" s="590"/>
      <c r="BO107" s="532"/>
      <c r="BP107" s="532"/>
      <c r="BQ107" s="532"/>
      <c r="BR107" s="566"/>
      <c r="BS107" s="566"/>
      <c r="BT107" s="566"/>
      <c r="BU107" s="566"/>
      <c r="BV107" s="566"/>
      <c r="BW107" s="532"/>
      <c r="BX107" s="532"/>
      <c r="BY107" s="532"/>
      <c r="BZ107" s="532"/>
      <c r="CA107" s="532"/>
      <c r="CB107" s="532"/>
      <c r="CC107" s="532"/>
      <c r="CD107" s="532"/>
      <c r="CE107" s="532"/>
      <c r="CF107" s="532"/>
      <c r="CG107" s="560"/>
      <c r="CH107" s="585"/>
      <c r="CI107" s="585"/>
      <c r="CJ107" s="532"/>
      <c r="CK107" s="532"/>
      <c r="CL107" s="532"/>
      <c r="CM107" s="532"/>
      <c r="CN107" s="20"/>
      <c r="CO107" s="20"/>
      <c r="CP107" s="19"/>
      <c r="CQ107" s="19"/>
      <c r="CR107" s="19"/>
      <c r="CS107" s="19"/>
      <c r="CT107" s="19"/>
      <c r="CU107" s="19"/>
      <c r="CV107" s="19"/>
      <c r="CW107" s="19"/>
      <c r="CX107" s="19"/>
      <c r="CY107" s="19"/>
      <c r="CZ107" s="19"/>
      <c r="DA107" s="19"/>
      <c r="DB107" s="19"/>
      <c r="DC107" s="19"/>
      <c r="DD107" s="19"/>
      <c r="DE107" s="19"/>
      <c r="DF107" s="20"/>
      <c r="DG107" s="20"/>
      <c r="DH107" s="20"/>
      <c r="DI107" s="20"/>
      <c r="DJ107" s="20"/>
      <c r="DK107" s="20"/>
      <c r="DL107" s="20"/>
      <c r="DM107" s="20"/>
      <c r="DN107" s="20"/>
    </row>
    <row r="108" spans="1:151" ht="15.75" customHeight="1" x14ac:dyDescent="0.2">
      <c r="A108" s="407" t="s">
        <v>1085</v>
      </c>
      <c r="B108" s="406"/>
      <c r="C108" s="406"/>
      <c r="D108" s="406"/>
      <c r="E108" s="406"/>
      <c r="F108" s="406"/>
      <c r="G108" s="406"/>
      <c r="H108" s="406"/>
      <c r="I108" s="406"/>
      <c r="J108" s="406"/>
      <c r="K108" s="406"/>
      <c r="L108" s="406"/>
      <c r="M108" s="406"/>
      <c r="N108" s="20"/>
      <c r="P108" s="406"/>
      <c r="Q108" s="406"/>
      <c r="R108" s="532"/>
      <c r="S108" s="532"/>
      <c r="T108" s="532"/>
      <c r="U108" s="532"/>
      <c r="V108" s="532"/>
      <c r="W108" s="532"/>
      <c r="X108" s="532"/>
      <c r="Y108" s="532"/>
      <c r="Z108" s="585"/>
      <c r="AA108" s="585"/>
      <c r="AB108" s="585"/>
      <c r="AC108" s="585"/>
      <c r="AD108" s="585"/>
      <c r="AE108" s="585"/>
      <c r="AF108" s="585"/>
      <c r="AG108" s="585"/>
      <c r="AH108" s="585"/>
      <c r="AI108" s="585"/>
      <c r="AJ108" s="585"/>
      <c r="AK108" s="585"/>
      <c r="AL108" s="585"/>
      <c r="AM108" s="585"/>
      <c r="AN108" s="585"/>
      <c r="AO108" s="585"/>
      <c r="AP108" s="585"/>
      <c r="AQ108" s="585"/>
      <c r="AR108" s="585"/>
      <c r="AS108" s="585"/>
      <c r="AT108" s="585"/>
      <c r="AU108" s="585"/>
      <c r="AV108" s="585"/>
      <c r="AW108" s="585"/>
      <c r="AX108" s="532"/>
      <c r="AY108" s="532"/>
      <c r="AZ108" s="532"/>
      <c r="BA108" s="532"/>
      <c r="BB108" s="532"/>
      <c r="BC108" s="532"/>
      <c r="BD108" s="532"/>
      <c r="BE108" s="532"/>
      <c r="BF108" s="532"/>
      <c r="BG108" s="532"/>
      <c r="BH108" s="532"/>
      <c r="BI108" s="532"/>
      <c r="BJ108" s="532"/>
      <c r="BK108" s="532"/>
      <c r="BL108" s="560"/>
      <c r="BM108" s="560"/>
      <c r="BN108" s="560"/>
      <c r="BO108" s="590"/>
      <c r="BP108" s="532"/>
      <c r="BQ108" s="532"/>
      <c r="BR108" s="532"/>
      <c r="BS108" s="566"/>
      <c r="BT108" s="566"/>
      <c r="BU108" s="566"/>
      <c r="BV108" s="566"/>
      <c r="BW108" s="566"/>
      <c r="BX108" s="532"/>
      <c r="BY108" s="532"/>
      <c r="BZ108" s="532"/>
      <c r="CA108" s="532"/>
      <c r="CB108" s="532"/>
      <c r="CC108" s="532"/>
      <c r="CD108" s="532"/>
      <c r="CE108" s="532"/>
      <c r="CF108" s="532"/>
      <c r="CG108" s="560"/>
      <c r="CH108" s="560"/>
      <c r="CI108" s="585"/>
      <c r="CJ108" s="585"/>
      <c r="CK108" s="532"/>
      <c r="CL108" s="532"/>
      <c r="CM108" s="532"/>
      <c r="CN108" s="532"/>
      <c r="CO108" s="20"/>
      <c r="CP108" s="20"/>
      <c r="CQ108" s="19"/>
      <c r="CR108" s="19"/>
      <c r="CS108" s="19"/>
      <c r="CT108" s="19"/>
      <c r="CU108" s="19"/>
      <c r="CV108" s="19"/>
      <c r="CW108" s="19"/>
      <c r="CX108" s="19"/>
      <c r="CY108" s="19"/>
      <c r="CZ108" s="19"/>
      <c r="DA108" s="19"/>
      <c r="DB108" s="19"/>
      <c r="DC108" s="19"/>
      <c r="DD108" s="19"/>
      <c r="DE108" s="19"/>
      <c r="DF108" s="19"/>
      <c r="DG108" s="20"/>
      <c r="DH108" s="20"/>
      <c r="DI108" s="20"/>
      <c r="DJ108" s="20"/>
      <c r="DK108" s="20"/>
      <c r="DL108" s="20"/>
      <c r="DM108" s="20"/>
      <c r="DN108" s="20"/>
      <c r="DO108" s="20"/>
    </row>
    <row r="109" spans="1:151" ht="17.25" customHeight="1" thickBot="1" x14ac:dyDescent="0.25">
      <c r="A109" s="4"/>
      <c r="B109" s="406"/>
      <c r="C109" s="1089" t="str">
        <f>IF(BF112&gt;0,"Fehler: org. Dünger müssen zugekauft werden"," ")</f>
        <v xml:space="preserve"> </v>
      </c>
      <c r="D109" s="406"/>
      <c r="E109" s="406"/>
      <c r="F109" s="406"/>
      <c r="G109" s="406"/>
      <c r="H109" s="406"/>
      <c r="I109" s="406"/>
      <c r="J109" s="406"/>
      <c r="K109" s="406"/>
      <c r="L109" s="406"/>
      <c r="M109" s="406"/>
      <c r="N109" s="20"/>
      <c r="P109" s="406"/>
      <c r="Q109" s="406"/>
      <c r="R109" s="532"/>
      <c r="S109" s="532"/>
      <c r="T109" s="532"/>
      <c r="U109" s="532"/>
      <c r="V109" s="532"/>
      <c r="W109" s="532"/>
      <c r="X109" s="532"/>
      <c r="Y109" s="532"/>
      <c r="Z109" s="666" t="s">
        <v>530</v>
      </c>
      <c r="AA109" s="1030" t="s">
        <v>531</v>
      </c>
      <c r="AB109" s="1030" t="s">
        <v>889</v>
      </c>
      <c r="AC109" s="1030" t="s">
        <v>531</v>
      </c>
      <c r="AD109" s="521" t="s">
        <v>895</v>
      </c>
      <c r="AF109" s="585" t="s">
        <v>893</v>
      </c>
      <c r="AG109" s="585" t="s">
        <v>894</v>
      </c>
      <c r="AH109" s="585" t="s">
        <v>899</v>
      </c>
      <c r="AJ109" s="585"/>
      <c r="AK109" s="585"/>
      <c r="AL109" s="585"/>
      <c r="AM109" s="585"/>
      <c r="AN109" s="585"/>
      <c r="AO109" s="585"/>
      <c r="AP109" s="585"/>
      <c r="AQ109" s="585"/>
      <c r="AR109" s="585"/>
      <c r="AS109" s="585"/>
      <c r="AT109" s="532"/>
      <c r="AU109" s="532"/>
      <c r="AV109" s="532"/>
      <c r="AW109" s="532"/>
      <c r="AX109" s="532"/>
      <c r="AY109" s="532"/>
      <c r="AZ109" s="532"/>
      <c r="BA109" s="532"/>
      <c r="BB109" s="532"/>
      <c r="BC109" s="532"/>
      <c r="BD109" s="532"/>
      <c r="BE109" s="532"/>
      <c r="BF109" s="532"/>
      <c r="BG109" s="532"/>
      <c r="BH109" s="532"/>
      <c r="BI109" s="560"/>
      <c r="BJ109" s="560"/>
      <c r="BK109" s="560"/>
      <c r="BL109" s="590"/>
      <c r="BM109" s="532"/>
      <c r="BN109" s="532"/>
      <c r="BO109" s="532"/>
      <c r="BP109" s="566"/>
      <c r="BQ109" s="566"/>
      <c r="BR109" s="566"/>
      <c r="BS109" s="566"/>
      <c r="BT109" s="566"/>
      <c r="BU109" s="532"/>
      <c r="BV109" s="532"/>
      <c r="BW109" s="532"/>
      <c r="BX109" s="532"/>
      <c r="BY109" s="532"/>
      <c r="BZ109" s="532"/>
      <c r="CA109" s="532"/>
      <c r="CB109" s="532"/>
      <c r="CC109" s="532"/>
      <c r="CD109" s="532"/>
      <c r="CE109" s="532"/>
      <c r="CF109" s="560"/>
      <c r="CG109" s="585"/>
      <c r="CH109" s="532"/>
      <c r="CI109" s="532"/>
      <c r="CJ109" s="532"/>
      <c r="CK109" s="532"/>
      <c r="CL109" s="20"/>
      <c r="CM109" s="20"/>
      <c r="CN109" s="19"/>
      <c r="CO109" s="19"/>
      <c r="CP109" s="19"/>
      <c r="CQ109" s="19"/>
      <c r="CR109" s="19"/>
      <c r="CS109" s="19"/>
      <c r="CT109" s="19"/>
      <c r="CU109" s="19"/>
      <c r="CV109" s="19"/>
      <c r="CW109" s="19"/>
      <c r="CX109" s="19"/>
      <c r="CY109" s="19"/>
      <c r="CZ109" s="19"/>
      <c r="DA109" s="19"/>
      <c r="DB109" s="19"/>
      <c r="DC109" s="19"/>
      <c r="DD109" s="20"/>
      <c r="DE109" s="20"/>
      <c r="DF109" s="20"/>
      <c r="DG109" s="20"/>
      <c r="DH109" s="20"/>
      <c r="DI109" s="20"/>
      <c r="DJ109" s="20"/>
      <c r="DK109" s="20"/>
      <c r="DL109" s="20"/>
    </row>
    <row r="110" spans="1:151" ht="15.75" customHeight="1" thickBot="1" x14ac:dyDescent="0.4">
      <c r="A110" s="1405" t="s">
        <v>970</v>
      </c>
      <c r="B110" s="1406"/>
      <c r="C110" s="2106" t="s">
        <v>562</v>
      </c>
      <c r="D110" s="1407" t="s">
        <v>355</v>
      </c>
      <c r="E110" s="1407" t="s">
        <v>523</v>
      </c>
      <c r="F110" s="1407" t="s">
        <v>523</v>
      </c>
      <c r="G110" s="1407" t="s">
        <v>529</v>
      </c>
      <c r="H110" s="1408" t="s">
        <v>530</v>
      </c>
      <c r="I110" s="1409" t="s">
        <v>531</v>
      </c>
      <c r="J110" s="1408" t="s">
        <v>4</v>
      </c>
      <c r="K110" s="1933" t="s">
        <v>532</v>
      </c>
      <c r="L110" s="1933"/>
      <c r="M110" s="1431" t="s">
        <v>1029</v>
      </c>
      <c r="N110" s="696"/>
      <c r="Q110" s="665" t="s">
        <v>534</v>
      </c>
      <c r="R110" s="1032" t="s">
        <v>531</v>
      </c>
      <c r="S110" s="666" t="s">
        <v>221</v>
      </c>
      <c r="T110" s="668" t="s">
        <v>357</v>
      </c>
      <c r="U110" s="668" t="s">
        <v>4</v>
      </c>
      <c r="V110" s="668" t="s">
        <v>532</v>
      </c>
      <c r="W110" s="667" t="s">
        <v>533</v>
      </c>
      <c r="X110" s="1030"/>
      <c r="Y110" s="1030" t="s">
        <v>890</v>
      </c>
      <c r="Z110" s="670" t="s">
        <v>538</v>
      </c>
      <c r="AA110" s="681"/>
      <c r="AB110" s="681"/>
      <c r="AC110" s="681" t="s">
        <v>892</v>
      </c>
      <c r="AD110" s="521" t="s">
        <v>896</v>
      </c>
      <c r="AF110" s="1030" t="s">
        <v>531</v>
      </c>
      <c r="AG110" s="1030" t="s">
        <v>531</v>
      </c>
      <c r="AH110" s="1030"/>
      <c r="AJ110" s="1030"/>
      <c r="AK110" s="1030"/>
      <c r="AL110" s="696" t="s">
        <v>562</v>
      </c>
      <c r="AM110" s="1030"/>
      <c r="AN110" s="1030"/>
      <c r="AO110" s="1030"/>
      <c r="AP110" s="1030"/>
      <c r="AQ110" s="1031" t="s">
        <v>853</v>
      </c>
      <c r="AR110" s="1030"/>
      <c r="AS110" s="1030"/>
      <c r="AT110" s="1030"/>
      <c r="AU110" s="1030"/>
      <c r="AV110" s="650" t="s">
        <v>562</v>
      </c>
      <c r="AW110" s="585" t="s">
        <v>911</v>
      </c>
      <c r="AX110" s="532"/>
      <c r="AY110" s="535" t="s">
        <v>356</v>
      </c>
      <c r="AZ110" s="760" t="s">
        <v>4</v>
      </c>
      <c r="BA110" s="761" t="s">
        <v>274</v>
      </c>
      <c r="BB110" s="761" t="s">
        <v>275</v>
      </c>
      <c r="BC110" s="610" t="s">
        <v>851</v>
      </c>
      <c r="BD110" s="585" t="s">
        <v>530</v>
      </c>
      <c r="BE110" s="585" t="s">
        <v>531</v>
      </c>
      <c r="BF110" s="585" t="s">
        <v>975</v>
      </c>
      <c r="BG110" s="585"/>
      <c r="BH110" s="585"/>
      <c r="BI110" s="1966" t="s">
        <v>902</v>
      </c>
      <c r="BJ110" s="1966"/>
      <c r="BK110" s="585"/>
      <c r="BM110" s="585"/>
      <c r="BO110" s="585"/>
      <c r="BP110" s="585"/>
      <c r="BQ110" s="585"/>
      <c r="BR110" s="585"/>
      <c r="BS110" s="585"/>
      <c r="BT110" s="585"/>
      <c r="BU110" s="585"/>
      <c r="BV110" s="585"/>
      <c r="BW110" s="532"/>
      <c r="BX110" s="532"/>
      <c r="BY110" s="532"/>
      <c r="BZ110" s="532"/>
      <c r="CA110" s="532"/>
      <c r="CB110" s="532"/>
      <c r="CC110" s="532"/>
      <c r="CD110" s="532"/>
      <c r="CE110" s="532"/>
      <c r="CF110" s="532"/>
      <c r="CG110" s="532"/>
      <c r="CH110" s="532"/>
      <c r="CI110" s="560"/>
      <c r="CJ110" s="560"/>
      <c r="CK110" s="560"/>
      <c r="CL110" s="590"/>
      <c r="CM110" s="532"/>
      <c r="CN110" s="532"/>
      <c r="CO110" s="532"/>
      <c r="CP110" s="566"/>
      <c r="CQ110" s="566"/>
      <c r="CR110" s="566"/>
      <c r="CS110" s="566"/>
      <c r="CT110" s="566"/>
      <c r="CU110" s="532"/>
      <c r="CV110" s="532"/>
      <c r="CW110" s="532"/>
      <c r="CX110" s="532"/>
      <c r="CY110" s="532"/>
      <c r="CZ110" s="532"/>
      <c r="DA110" s="532"/>
      <c r="DB110" s="532"/>
      <c r="DC110" s="532"/>
      <c r="DD110" s="532"/>
      <c r="DE110" s="532"/>
      <c r="DF110" s="532"/>
      <c r="DG110" s="532"/>
      <c r="DH110" s="532"/>
      <c r="DI110" s="532"/>
      <c r="DJ110" s="532"/>
      <c r="DK110" s="532"/>
      <c r="DL110" s="560"/>
      <c r="DM110" s="560"/>
      <c r="DN110" s="560"/>
      <c r="DO110" s="560"/>
      <c r="DP110" s="560"/>
      <c r="DQ110" s="560"/>
      <c r="DR110" s="560"/>
      <c r="DS110" s="560"/>
      <c r="DT110" s="560"/>
      <c r="DU110" s="560"/>
      <c r="DV110" s="560"/>
      <c r="DW110" s="560"/>
      <c r="DX110" s="560"/>
      <c r="DY110" s="560"/>
      <c r="DZ110" s="560"/>
      <c r="EA110" s="560"/>
      <c r="EB110" s="560"/>
      <c r="EC110" s="560"/>
      <c r="ED110" s="585"/>
      <c r="EE110" s="585"/>
      <c r="EF110" s="532"/>
      <c r="EG110" s="532"/>
      <c r="EH110" s="532"/>
      <c r="EI110" s="532"/>
      <c r="EJ110" s="532"/>
      <c r="EK110" s="532"/>
      <c r="EL110" s="20"/>
      <c r="EM110" s="20"/>
      <c r="EN110" s="19"/>
      <c r="EO110" s="19"/>
      <c r="EP110" s="20"/>
      <c r="EQ110" s="20"/>
      <c r="ER110" s="20"/>
      <c r="ES110" s="20"/>
      <c r="ET110" s="20"/>
      <c r="EU110" s="20"/>
    </row>
    <row r="111" spans="1:151" ht="15.75" customHeight="1" x14ac:dyDescent="0.35">
      <c r="A111" s="1410" t="s">
        <v>971</v>
      </c>
      <c r="B111" s="1411"/>
      <c r="C111" s="2107"/>
      <c r="D111" s="1412" t="s">
        <v>535</v>
      </c>
      <c r="E111" s="1413" t="s">
        <v>536</v>
      </c>
      <c r="F111" s="1412"/>
      <c r="G111" s="1412" t="s">
        <v>537</v>
      </c>
      <c r="H111" s="1414" t="s">
        <v>538</v>
      </c>
      <c r="I111" s="1415" t="s">
        <v>539</v>
      </c>
      <c r="J111" s="1995" t="s">
        <v>313</v>
      </c>
      <c r="K111" s="1996"/>
      <c r="L111" s="1996"/>
      <c r="M111" s="1997"/>
      <c r="N111" s="681"/>
      <c r="Q111" s="669" t="s">
        <v>540</v>
      </c>
      <c r="R111" s="1033" t="s">
        <v>854</v>
      </c>
      <c r="S111" s="683" t="s">
        <v>541</v>
      </c>
      <c r="T111" s="684"/>
      <c r="U111" s="684"/>
      <c r="V111" s="684"/>
      <c r="W111" s="685"/>
      <c r="X111" s="681"/>
      <c r="Y111" s="681"/>
      <c r="Z111" s="670" t="s">
        <v>891</v>
      </c>
      <c r="AD111" s="521" t="s">
        <v>897</v>
      </c>
      <c r="AE111" s="521" t="s">
        <v>357</v>
      </c>
      <c r="AF111" s="681" t="s">
        <v>892</v>
      </c>
      <c r="AG111" s="681" t="s">
        <v>892</v>
      </c>
      <c r="AH111" s="550" t="s">
        <v>356</v>
      </c>
      <c r="AJ111" s="681"/>
      <c r="AK111" s="681"/>
      <c r="AL111" s="666" t="s">
        <v>221</v>
      </c>
      <c r="AM111" s="668" t="s">
        <v>357</v>
      </c>
      <c r="AN111" s="668" t="s">
        <v>4</v>
      </c>
      <c r="AO111" s="668" t="s">
        <v>532</v>
      </c>
      <c r="AP111" s="667" t="s">
        <v>533</v>
      </c>
      <c r="AQ111" s="666" t="s">
        <v>221</v>
      </c>
      <c r="AR111" s="668" t="s">
        <v>357</v>
      </c>
      <c r="AS111" s="668" t="s">
        <v>4</v>
      </c>
      <c r="AT111" s="668" t="s">
        <v>532</v>
      </c>
      <c r="AU111" s="667" t="s">
        <v>533</v>
      </c>
      <c r="AW111" s="585" t="s">
        <v>912</v>
      </c>
      <c r="AX111" s="532"/>
      <c r="AY111" s="535"/>
      <c r="AZ111" s="585"/>
      <c r="BA111" s="585"/>
      <c r="BB111" s="585"/>
      <c r="BC111" s="585"/>
      <c r="BD111" s="585" t="s">
        <v>852</v>
      </c>
      <c r="BE111" s="585"/>
      <c r="BF111" s="585"/>
      <c r="BG111" s="585"/>
      <c r="BH111" s="585"/>
      <c r="BI111" s="585" t="s">
        <v>906</v>
      </c>
      <c r="BJ111" s="585" t="s">
        <v>643</v>
      </c>
      <c r="BK111" s="585"/>
      <c r="BM111" s="585"/>
      <c r="BN111" s="585"/>
      <c r="BO111" s="585"/>
      <c r="BP111" s="585"/>
      <c r="BQ111" s="585"/>
      <c r="BR111" s="585"/>
      <c r="BS111" s="585"/>
      <c r="BT111" s="585"/>
      <c r="BU111" s="585"/>
      <c r="BV111" s="585"/>
      <c r="BW111" s="532"/>
      <c r="BX111" s="532"/>
      <c r="BY111" s="532"/>
      <c r="BZ111" s="532"/>
      <c r="CA111" s="532"/>
      <c r="CB111" s="532"/>
      <c r="CC111" s="532"/>
      <c r="CD111" s="532"/>
      <c r="CE111" s="532"/>
      <c r="CF111" s="532"/>
      <c r="CG111" s="532"/>
      <c r="CH111" s="532"/>
      <c r="CI111" s="560"/>
      <c r="CJ111" s="560"/>
      <c r="CK111" s="560"/>
      <c r="CL111" s="590"/>
      <c r="CM111" s="532"/>
      <c r="CN111" s="532"/>
      <c r="CO111" s="532"/>
      <c r="CP111" s="566"/>
      <c r="CQ111" s="566"/>
      <c r="CR111" s="566"/>
      <c r="CS111" s="566"/>
      <c r="CT111" s="566"/>
      <c r="CU111" s="532"/>
      <c r="CV111" s="532"/>
      <c r="CW111" s="532"/>
      <c r="CX111" s="532"/>
      <c r="CY111" s="532"/>
      <c r="CZ111" s="532"/>
      <c r="DA111" s="532"/>
      <c r="DB111" s="532"/>
      <c r="DC111" s="532"/>
      <c r="DD111" s="532"/>
      <c r="DE111" s="532"/>
      <c r="DF111" s="532"/>
      <c r="DG111" s="532"/>
      <c r="DH111" s="532"/>
      <c r="DI111" s="532"/>
      <c r="DJ111" s="532"/>
      <c r="DK111" s="532"/>
      <c r="DL111" s="560"/>
      <c r="DM111" s="560"/>
      <c r="DN111" s="560"/>
      <c r="DO111" s="560"/>
      <c r="DP111" s="560"/>
      <c r="DQ111" s="560"/>
      <c r="DR111" s="560"/>
      <c r="DS111" s="560"/>
      <c r="DT111" s="560"/>
      <c r="DU111" s="560"/>
      <c r="DV111" s="560"/>
      <c r="DW111" s="560"/>
      <c r="DX111" s="560"/>
      <c r="DY111" s="560"/>
      <c r="DZ111" s="560"/>
      <c r="EA111" s="560"/>
      <c r="EB111" s="560"/>
      <c r="EC111" s="560"/>
      <c r="ED111" s="585"/>
      <c r="EE111" s="585"/>
      <c r="EF111" s="532"/>
      <c r="EG111" s="532"/>
      <c r="EH111" s="532"/>
      <c r="EI111" s="532"/>
      <c r="EJ111" s="532"/>
      <c r="EK111" s="532"/>
      <c r="EL111" s="20"/>
      <c r="EM111" s="20"/>
      <c r="EN111" s="19"/>
      <c r="EO111" s="19"/>
      <c r="EP111" s="20"/>
      <c r="EQ111" s="20"/>
      <c r="ER111" s="20"/>
      <c r="ES111" s="20"/>
      <c r="ET111" s="20"/>
      <c r="EU111" s="20"/>
    </row>
    <row r="112" spans="1:151" ht="15.75" customHeight="1" thickBot="1" x14ac:dyDescent="0.25">
      <c r="A112" s="1238" t="s">
        <v>972</v>
      </c>
      <c r="B112" s="1416"/>
      <c r="C112" s="2108"/>
      <c r="D112" s="1417" t="s">
        <v>542</v>
      </c>
      <c r="E112" s="1418" t="s">
        <v>543</v>
      </c>
      <c r="F112" s="1417"/>
      <c r="G112" s="1417" t="s">
        <v>2</v>
      </c>
      <c r="H112" s="1419" t="s">
        <v>529</v>
      </c>
      <c r="I112" s="1420" t="s">
        <v>2</v>
      </c>
      <c r="J112" s="1986" t="s">
        <v>542</v>
      </c>
      <c r="K112" s="1987"/>
      <c r="L112" s="1987"/>
      <c r="M112" s="1988"/>
      <c r="N112" s="681"/>
      <c r="Q112" s="686" t="s">
        <v>520</v>
      </c>
      <c r="R112" s="1034" t="s">
        <v>539</v>
      </c>
      <c r="S112" s="687"/>
      <c r="T112" s="687"/>
      <c r="U112" s="687"/>
      <c r="V112" s="687"/>
      <c r="W112" s="688"/>
      <c r="X112" s="681"/>
      <c r="Y112" s="681" t="s">
        <v>40</v>
      </c>
      <c r="Z112" s="670"/>
      <c r="AA112" s="681" t="s">
        <v>40</v>
      </c>
      <c r="AB112" s="681" t="s">
        <v>40</v>
      </c>
      <c r="AC112" s="1066" t="s">
        <v>40</v>
      </c>
      <c r="AE112" s="521" t="s">
        <v>2</v>
      </c>
      <c r="AF112" s="585" t="s">
        <v>40</v>
      </c>
      <c r="AG112" s="585" t="s">
        <v>40</v>
      </c>
      <c r="AH112" s="681"/>
      <c r="AJ112" s="681"/>
      <c r="AK112" s="681"/>
      <c r="AL112" s="683" t="s">
        <v>541</v>
      </c>
      <c r="AM112" s="684"/>
      <c r="AN112" s="684"/>
      <c r="AO112" s="684"/>
      <c r="AP112" s="685"/>
      <c r="AQ112" s="683" t="s">
        <v>541</v>
      </c>
      <c r="AR112" s="684"/>
      <c r="AS112" s="684"/>
      <c r="AT112" s="684"/>
      <c r="AU112" s="685"/>
      <c r="AW112" s="585" t="s">
        <v>913</v>
      </c>
      <c r="AX112" s="532"/>
      <c r="AY112" s="532"/>
      <c r="AZ112" s="585"/>
      <c r="BA112" s="585"/>
      <c r="BB112" s="585"/>
      <c r="BC112" s="585"/>
      <c r="BD112" s="585"/>
      <c r="BE112" s="585"/>
      <c r="BF112" s="585">
        <f>SUM(BF113:BF133)</f>
        <v>0</v>
      </c>
      <c r="BG112" s="585"/>
      <c r="BH112" s="585"/>
      <c r="BI112" s="585"/>
      <c r="BJ112" s="585"/>
      <c r="BK112" s="585"/>
      <c r="BM112" s="585"/>
      <c r="BN112" s="585"/>
      <c r="BO112" s="585"/>
      <c r="BP112" s="585"/>
      <c r="BQ112" s="585"/>
      <c r="BR112" s="585"/>
      <c r="BS112" s="585"/>
      <c r="BT112" s="585"/>
      <c r="BU112" s="585"/>
      <c r="BV112" s="585"/>
      <c r="BW112" s="532"/>
      <c r="BX112" s="532"/>
      <c r="BY112" s="532"/>
      <c r="BZ112" s="532"/>
      <c r="CA112" s="532"/>
      <c r="CB112" s="532"/>
      <c r="CC112" s="532"/>
      <c r="CD112" s="532"/>
      <c r="CE112" s="532"/>
      <c r="CF112" s="532"/>
      <c r="CG112" s="532"/>
      <c r="CH112" s="532"/>
      <c r="CI112" s="560"/>
      <c r="CJ112" s="560"/>
      <c r="CK112" s="560"/>
      <c r="CL112" s="590"/>
      <c r="CM112" s="532"/>
      <c r="CN112" s="532"/>
      <c r="CO112" s="532"/>
      <c r="CP112" s="566"/>
      <c r="CQ112" s="566"/>
      <c r="CR112" s="566"/>
      <c r="CS112" s="566"/>
      <c r="CT112" s="566"/>
      <c r="CU112" s="532"/>
      <c r="CV112" s="532"/>
      <c r="CW112" s="532"/>
      <c r="CX112" s="532"/>
      <c r="CY112" s="532"/>
      <c r="CZ112" s="532"/>
      <c r="DA112" s="532"/>
      <c r="DB112" s="532"/>
      <c r="DC112" s="532"/>
      <c r="DD112" s="532"/>
      <c r="DE112" s="532"/>
      <c r="DF112" s="532"/>
      <c r="DG112" s="532"/>
      <c r="DH112" s="532"/>
      <c r="DI112" s="532"/>
      <c r="DJ112" s="532"/>
      <c r="DK112" s="532"/>
      <c r="DL112" s="560"/>
      <c r="DM112" s="560"/>
      <c r="DN112" s="560"/>
      <c r="DO112" s="560"/>
      <c r="DP112" s="560"/>
      <c r="DQ112" s="560"/>
      <c r="DR112" s="560"/>
      <c r="DS112" s="560"/>
      <c r="DT112" s="560"/>
      <c r="DU112" s="560"/>
      <c r="DV112" s="560"/>
      <c r="DW112" s="560"/>
      <c r="DX112" s="560"/>
      <c r="DY112" s="560"/>
      <c r="DZ112" s="560"/>
      <c r="EA112" s="560"/>
      <c r="EB112" s="560"/>
      <c r="EC112" s="560"/>
      <c r="ED112" s="585"/>
      <c r="EE112" s="585"/>
      <c r="EF112" s="532"/>
      <c r="EG112" s="532"/>
      <c r="EH112" s="532"/>
      <c r="EI112" s="532"/>
      <c r="EJ112" s="532"/>
      <c r="EK112" s="532"/>
      <c r="EL112" s="20"/>
      <c r="EM112" s="20"/>
      <c r="EN112" s="19"/>
      <c r="EO112" s="19"/>
      <c r="EP112" s="20"/>
      <c r="EQ112" s="20"/>
      <c r="ER112" s="20"/>
      <c r="ES112" s="20"/>
      <c r="ET112" s="20"/>
      <c r="EU112" s="20"/>
    </row>
    <row r="113" spans="1:151" ht="15.75" customHeight="1" x14ac:dyDescent="0.25">
      <c r="A113" s="1190"/>
      <c r="B113" s="1182"/>
      <c r="C113" s="1231"/>
      <c r="D113" s="1227"/>
      <c r="E113" s="1228"/>
      <c r="F113" s="1183">
        <f>IF(E113&gt;1,E113,AY113)</f>
        <v>0</v>
      </c>
      <c r="G113" s="1184">
        <f>+BC113*100</f>
        <v>0</v>
      </c>
      <c r="H113" s="1185">
        <f>+BD113</f>
        <v>0</v>
      </c>
      <c r="I113" s="1184">
        <f>+BE113*100</f>
        <v>0</v>
      </c>
      <c r="J113" s="1185">
        <f>IF(AX113=1,,AZ113*F113/AY113)</f>
        <v>0</v>
      </c>
      <c r="K113" s="2178">
        <f>IF(AX113=1,,BA113*F113/AY113)</f>
        <v>0</v>
      </c>
      <c r="L113" s="2178"/>
      <c r="M113" s="1191">
        <f>IF(AX113=1,,BB113*F113/AY113)</f>
        <v>0</v>
      </c>
      <c r="N113" s="676"/>
      <c r="O113" s="458"/>
      <c r="Q113" s="672">
        <f>+D113*F113/100*G113/100*H113/1000</f>
        <v>0</v>
      </c>
      <c r="R113" s="674">
        <f>+Q113*I113/100</f>
        <v>0</v>
      </c>
      <c r="S113" s="673">
        <f>+D113*F113/100</f>
        <v>0</v>
      </c>
      <c r="T113" s="673">
        <f>+D113-S113</f>
        <v>0</v>
      </c>
      <c r="U113" s="674">
        <f>+J113*$D113/1000</f>
        <v>0</v>
      </c>
      <c r="V113" s="674">
        <f>K113*$D113/1000</f>
        <v>0</v>
      </c>
      <c r="W113" s="675">
        <f>M113*$D113/1000</f>
        <v>0</v>
      </c>
      <c r="X113" s="678"/>
      <c r="Y113" s="678">
        <f>+D113*F113/100*G113/100</f>
        <v>0</v>
      </c>
      <c r="Z113" s="676">
        <f>IF(D113=0,0,Y113*H113/D113)</f>
        <v>0</v>
      </c>
      <c r="AA113" s="676">
        <f>D113*Z113*I113/100/22.26*0.01605</f>
        <v>0</v>
      </c>
      <c r="AB113" s="678">
        <f>D113*Z113*(1-I113/100)/22.26*0.04401</f>
        <v>0</v>
      </c>
      <c r="AC113" s="678">
        <f>+AA113+AB113</f>
        <v>0</v>
      </c>
      <c r="AD113" s="521">
        <f>+H113/887*100</f>
        <v>0</v>
      </c>
      <c r="AE113" s="521">
        <f>15.44*AD113/100</f>
        <v>0</v>
      </c>
      <c r="AF113" s="678">
        <f>+AC113-AG113</f>
        <v>0</v>
      </c>
      <c r="AG113" s="678">
        <f>+AC113*AE113/100</f>
        <v>0</v>
      </c>
      <c r="AH113" s="678" t="e">
        <f>+(D113*F113/100-AF113)/(D113-AC113)*100</f>
        <v>#DIV/0!</v>
      </c>
      <c r="AJ113" s="678"/>
      <c r="AK113" s="678"/>
      <c r="AL113" s="678">
        <f>IF($AV113=TRUE,S113,0)</f>
        <v>0</v>
      </c>
      <c r="AM113" s="678">
        <f>IF($AV113=TRUE,T113,0)</f>
        <v>0</v>
      </c>
      <c r="AN113" s="678">
        <f>IF($AV113=TRUE,U113,0)</f>
        <v>0</v>
      </c>
      <c r="AO113" s="678">
        <f>IF($AV113=TRUE,V113,0)</f>
        <v>0</v>
      </c>
      <c r="AP113" s="678">
        <f>IF($AV113=TRUE,W113,0)</f>
        <v>0</v>
      </c>
      <c r="AQ113" s="678">
        <f t="shared" ref="AQ113:AU115" si="100">+S113-AL113</f>
        <v>0</v>
      </c>
      <c r="AR113" s="678">
        <f t="shared" si="100"/>
        <v>0</v>
      </c>
      <c r="AS113" s="678">
        <f t="shared" si="100"/>
        <v>0</v>
      </c>
      <c r="AT113" s="678">
        <f t="shared" si="100"/>
        <v>0</v>
      </c>
      <c r="AU113" s="678">
        <f t="shared" si="100"/>
        <v>0</v>
      </c>
      <c r="AV113" s="1334" t="b">
        <v>1</v>
      </c>
      <c r="AW113" s="1113">
        <f>INDEX(Pflanzen!$BM$5:$BM$98,'Berechnung Nährstoffe und Lager'!$AX113)</f>
        <v>0</v>
      </c>
      <c r="AX113" s="532">
        <v>1</v>
      </c>
      <c r="AY113" s="532">
        <f>INDEX(Pflanzen!$K$5:$K$98,'Berechnung Nährstoffe und Lager'!$AX113)</f>
        <v>0</v>
      </c>
      <c r="AZ113" s="532">
        <f>INDEX(Pflanzen!$L$5:$L$98,'Berechnung Nährstoffe und Lager'!$AX113)</f>
        <v>0</v>
      </c>
      <c r="BA113" s="532">
        <f>INDEX(Pflanzen!$M$5:$M$98,'Berechnung Nährstoffe und Lager'!$AX113)</f>
        <v>0</v>
      </c>
      <c r="BB113" s="532">
        <f>INDEX(Pflanzen!$O$5:$O$98,'Berechnung Nährstoffe und Lager'!$AX113)</f>
        <v>0</v>
      </c>
      <c r="BC113" s="532">
        <f>INDEX(Pflanzen!$AV$5:$AV$98,'Berechnung Nährstoffe und Lager'!$AX113)</f>
        <v>0</v>
      </c>
      <c r="BD113" s="532">
        <f>INDEX(Pflanzen!$BA$5:$BA$98,'Berechnung Nährstoffe und Lager'!$AX113)</f>
        <v>0</v>
      </c>
      <c r="BE113" s="532">
        <f>INDEX(Pflanzen!$BC$5:$BC$98,'Berechnung Nährstoffe und Lager'!$AX113)</f>
        <v>0</v>
      </c>
      <c r="BF113" s="585">
        <f>IF(AW113=1,IF(AV113=FALSE,1,0),0)</f>
        <v>0</v>
      </c>
      <c r="BG113" s="590">
        <f t="shared" ref="BG113:BH115" si="101">IF($AW113=1,AN113,0)</f>
        <v>0</v>
      </c>
      <c r="BH113" s="590">
        <f t="shared" si="101"/>
        <v>0</v>
      </c>
      <c r="BI113" s="532">
        <f>INDEX(Pflanzen!$BL$5:$BL98,'Berechnung Nährstoffe und Lager'!$AX113)</f>
        <v>0</v>
      </c>
      <c r="BJ113" s="585">
        <f>+BI113*D113</f>
        <v>0</v>
      </c>
      <c r="BK113" s="585"/>
      <c r="BM113" s="585"/>
      <c r="BN113" s="532">
        <f>INDEX(Pflanzen!$BN$5:$BN$98,'Berechnung Nährstoffe und Lager'!$AX113)</f>
        <v>0</v>
      </c>
      <c r="BO113" s="594">
        <f>+BN113*U113</f>
        <v>0</v>
      </c>
      <c r="BP113" s="585"/>
      <c r="BQ113" s="585"/>
      <c r="BR113" s="585"/>
      <c r="BS113" s="585"/>
      <c r="BT113" s="585"/>
      <c r="BU113" s="585"/>
      <c r="BV113" s="585"/>
      <c r="BW113" s="532"/>
      <c r="BX113" s="532"/>
      <c r="BY113" s="532"/>
      <c r="BZ113" s="532"/>
      <c r="CA113" s="532"/>
      <c r="CB113" s="532"/>
      <c r="CC113" s="532"/>
      <c r="CD113" s="532"/>
      <c r="CE113" s="532"/>
      <c r="CF113" s="532"/>
      <c r="CG113" s="532"/>
      <c r="CH113" s="532"/>
      <c r="CI113" s="560"/>
      <c r="CJ113" s="560"/>
      <c r="CK113" s="560"/>
      <c r="CL113" s="590"/>
      <c r="CM113" s="532"/>
      <c r="CN113" s="532"/>
      <c r="CO113" s="532"/>
      <c r="CP113" s="566"/>
      <c r="CQ113" s="566"/>
      <c r="CR113" s="566"/>
      <c r="CS113" s="566"/>
      <c r="CT113" s="566"/>
      <c r="CU113" s="532"/>
      <c r="CV113" s="532"/>
      <c r="CW113" s="532"/>
      <c r="CX113" s="532"/>
      <c r="CY113" s="532"/>
      <c r="CZ113" s="532"/>
      <c r="DA113" s="532"/>
      <c r="DB113" s="532"/>
      <c r="DC113" s="532"/>
      <c r="DD113" s="532"/>
      <c r="DE113" s="532"/>
      <c r="DF113" s="532"/>
      <c r="DG113" s="532"/>
      <c r="DH113" s="532"/>
      <c r="DI113" s="532"/>
      <c r="DJ113" s="532"/>
      <c r="DK113" s="532"/>
      <c r="DL113" s="560"/>
      <c r="DM113" s="560"/>
      <c r="DN113" s="560"/>
      <c r="DO113" s="560"/>
      <c r="DP113" s="560"/>
      <c r="DQ113" s="560"/>
      <c r="DR113" s="560"/>
      <c r="DS113" s="560"/>
      <c r="DT113" s="560"/>
      <c r="DU113" s="560"/>
      <c r="DV113" s="560"/>
      <c r="DW113" s="560"/>
      <c r="DX113" s="560"/>
      <c r="DY113" s="560"/>
      <c r="DZ113" s="560"/>
      <c r="EA113" s="560"/>
      <c r="EB113" s="560"/>
      <c r="EC113" s="560"/>
      <c r="ED113" s="585"/>
      <c r="EE113" s="585"/>
      <c r="EF113" s="532"/>
      <c r="EG113" s="532"/>
      <c r="EH113" s="532"/>
      <c r="EI113" s="532"/>
      <c r="EJ113" s="532"/>
      <c r="EK113" s="532"/>
      <c r="EL113" s="20"/>
      <c r="EM113" s="20"/>
      <c r="EN113" s="19"/>
      <c r="EO113" s="19"/>
      <c r="EP113" s="20"/>
      <c r="EQ113" s="20"/>
      <c r="ER113" s="20"/>
      <c r="ES113" s="20"/>
      <c r="ET113" s="20"/>
      <c r="EU113" s="20"/>
    </row>
    <row r="114" spans="1:151" ht="15.75" customHeight="1" x14ac:dyDescent="0.25">
      <c r="A114" s="1192"/>
      <c r="B114" s="1186"/>
      <c r="C114" s="1232"/>
      <c r="D114" s="1229"/>
      <c r="E114" s="1203"/>
      <c r="F114" s="1187">
        <f t="shared" ref="F114:F130" si="102">IF(E114&gt;1,E114,AY114)</f>
        <v>0</v>
      </c>
      <c r="G114" s="1188">
        <f t="shared" ref="G114:G130" si="103">+BC114*100</f>
        <v>0</v>
      </c>
      <c r="H114" s="1189">
        <f t="shared" ref="H114:H130" si="104">+BD114</f>
        <v>0</v>
      </c>
      <c r="I114" s="1188">
        <f t="shared" ref="I114:I130" si="105">+BE114*100</f>
        <v>0</v>
      </c>
      <c r="J114" s="1189">
        <f t="shared" ref="J114:J130" si="106">IF(AX114=1,,AZ114*F114/AY114)</f>
        <v>0</v>
      </c>
      <c r="K114" s="1965">
        <f t="shared" ref="K114:K130" si="107">IF(AX114=1,,BA114*F114/AY114)</f>
        <v>0</v>
      </c>
      <c r="L114" s="1965"/>
      <c r="M114" s="1193">
        <f t="shared" ref="M114:M130" si="108">IF(AX114=1,,BB114*F114/AY114)</f>
        <v>0</v>
      </c>
      <c r="N114" s="676"/>
      <c r="Q114" s="672">
        <f>+D114*F114/100*G114/100*H114/1000</f>
        <v>0</v>
      </c>
      <c r="R114" s="674">
        <f>+Q114*I114/100</f>
        <v>0</v>
      </c>
      <c r="S114" s="673">
        <f>+D114*F114/100</f>
        <v>0</v>
      </c>
      <c r="T114" s="673">
        <f>+D114-S114</f>
        <v>0</v>
      </c>
      <c r="U114" s="674">
        <f>+J114*$D114/1000</f>
        <v>0</v>
      </c>
      <c r="V114" s="674">
        <f>K114*$D114/1000</f>
        <v>0</v>
      </c>
      <c r="W114" s="675">
        <f>M114*$D114/1000</f>
        <v>0</v>
      </c>
      <c r="X114" s="678"/>
      <c r="Y114" s="678">
        <f>+D114*F114/100*G114/100</f>
        <v>0</v>
      </c>
      <c r="Z114" s="676">
        <f>IF(D114=0,0,Y114*H114/D114)</f>
        <v>0</v>
      </c>
      <c r="AA114" s="676">
        <f>D114*Z114*I114/100/22.26*0.01605</f>
        <v>0</v>
      </c>
      <c r="AB114" s="678">
        <f>D114*Z114*(1-I114/100)/22.26*0.04401</f>
        <v>0</v>
      </c>
      <c r="AC114" s="678">
        <f>+AA114+AB114</f>
        <v>0</v>
      </c>
      <c r="AD114" s="521">
        <f>+H114/887*100</f>
        <v>0</v>
      </c>
      <c r="AE114" s="521">
        <f>15.44*AD114/100</f>
        <v>0</v>
      </c>
      <c r="AF114" s="678">
        <f>+AC114-AG114</f>
        <v>0</v>
      </c>
      <c r="AG114" s="678">
        <f>+AC114*AE114/100</f>
        <v>0</v>
      </c>
      <c r="AH114" s="678" t="e">
        <f>+(D114*F114/100-AF114)/(D114-AC114)*100</f>
        <v>#DIV/0!</v>
      </c>
      <c r="AJ114" s="678"/>
      <c r="AK114" s="678"/>
      <c r="AL114" s="678">
        <f t="shared" ref="AL114:AL130" si="109">IF($AV114=TRUE,S114,0)</f>
        <v>0</v>
      </c>
      <c r="AM114" s="678">
        <f t="shared" ref="AM114:AM130" si="110">IF($AV114=TRUE,T114,0)</f>
        <v>0</v>
      </c>
      <c r="AN114" s="678">
        <f t="shared" ref="AN114:AN130" si="111">IF($AV114=TRUE,U114,0)</f>
        <v>0</v>
      </c>
      <c r="AO114" s="678">
        <f t="shared" ref="AO114:AO130" si="112">IF($AV114=TRUE,V114,0)</f>
        <v>0</v>
      </c>
      <c r="AP114" s="678">
        <f t="shared" ref="AP114:AP130" si="113">IF($AV114=TRUE,W114,0)</f>
        <v>0</v>
      </c>
      <c r="AQ114" s="678">
        <f t="shared" si="100"/>
        <v>0</v>
      </c>
      <c r="AR114" s="678">
        <f t="shared" si="100"/>
        <v>0</v>
      </c>
      <c r="AS114" s="678">
        <f t="shared" si="100"/>
        <v>0</v>
      </c>
      <c r="AT114" s="678">
        <f t="shared" si="100"/>
        <v>0</v>
      </c>
      <c r="AU114" s="678">
        <f t="shared" si="100"/>
        <v>0</v>
      </c>
      <c r="AV114" s="1334" t="b">
        <v>1</v>
      </c>
      <c r="AW114" s="1113">
        <f>INDEX(Pflanzen!$BM$5:$BM$98,'Berechnung Nährstoffe und Lager'!$AX114)</f>
        <v>0</v>
      </c>
      <c r="AX114" s="532">
        <v>1</v>
      </c>
      <c r="AY114" s="532">
        <f>INDEX(Pflanzen!$K$5:$K$98,'Berechnung Nährstoffe und Lager'!$AX114)</f>
        <v>0</v>
      </c>
      <c r="AZ114" s="532">
        <f>INDEX(Pflanzen!$L$5:$L$98,'Berechnung Nährstoffe und Lager'!$AX114)</f>
        <v>0</v>
      </c>
      <c r="BA114" s="532">
        <f>INDEX(Pflanzen!$M$5:$M$98,'Berechnung Nährstoffe und Lager'!$AX114)</f>
        <v>0</v>
      </c>
      <c r="BB114" s="532">
        <f>INDEX(Pflanzen!$O$5:$O$98,'Berechnung Nährstoffe und Lager'!$AX114)</f>
        <v>0</v>
      </c>
      <c r="BC114" s="532">
        <f>INDEX(Pflanzen!$AV$5:$AV$98,'Berechnung Nährstoffe und Lager'!$AX114)</f>
        <v>0</v>
      </c>
      <c r="BD114" s="532">
        <f>INDEX(Pflanzen!$BA$5:$BA$98,'Berechnung Nährstoffe und Lager'!$AX114)</f>
        <v>0</v>
      </c>
      <c r="BE114" s="532">
        <f>INDEX(Pflanzen!$BC$5:$BC$98,'Berechnung Nährstoffe und Lager'!$AX114)</f>
        <v>0</v>
      </c>
      <c r="BF114" s="585">
        <f>IF(AW114=1,IF(AV114=FALSE,1,0),0)</f>
        <v>0</v>
      </c>
      <c r="BG114" s="590">
        <f t="shared" si="101"/>
        <v>0</v>
      </c>
      <c r="BH114" s="590">
        <f t="shared" si="101"/>
        <v>0</v>
      </c>
      <c r="BI114" s="532">
        <f>INDEX(Pflanzen!$BL$5:$BL99,'Berechnung Nährstoffe und Lager'!$AX114)</f>
        <v>0</v>
      </c>
      <c r="BJ114" s="585">
        <f>+BI114*D114</f>
        <v>0</v>
      </c>
      <c r="BK114" s="585"/>
      <c r="BM114" s="585"/>
      <c r="BN114" s="532">
        <f>INDEX(Pflanzen!$BN$5:$BN$98,'Berechnung Nährstoffe und Lager'!$AX114)</f>
        <v>0</v>
      </c>
      <c r="BO114" s="594">
        <f t="shared" ref="BO114:BO130" si="114">+BN114*U114</f>
        <v>0</v>
      </c>
      <c r="BP114" s="585"/>
      <c r="BQ114" s="585"/>
      <c r="BR114" s="585"/>
      <c r="BS114" s="585"/>
      <c r="BT114" s="585"/>
      <c r="BU114" s="585"/>
      <c r="BV114" s="585"/>
      <c r="BW114" s="532"/>
      <c r="BX114" s="532"/>
      <c r="BY114" s="532"/>
      <c r="BZ114" s="532"/>
      <c r="CA114" s="532"/>
      <c r="CB114" s="532"/>
      <c r="CC114" s="532"/>
      <c r="CD114" s="532"/>
      <c r="CE114" s="532"/>
      <c r="CF114" s="532"/>
      <c r="CG114" s="532"/>
      <c r="CH114" s="532"/>
      <c r="CI114" s="560"/>
      <c r="CJ114" s="560"/>
      <c r="CK114" s="560"/>
      <c r="CL114" s="590"/>
      <c r="CM114" s="532"/>
      <c r="CN114" s="532"/>
      <c r="CO114" s="532"/>
      <c r="CP114" s="566"/>
      <c r="CQ114" s="566"/>
      <c r="CR114" s="566"/>
      <c r="CS114" s="566"/>
      <c r="CT114" s="566"/>
      <c r="CU114" s="532"/>
      <c r="CV114" s="532"/>
      <c r="CW114" s="532"/>
      <c r="CX114" s="532"/>
      <c r="CY114" s="532"/>
      <c r="CZ114" s="532"/>
      <c r="DA114" s="532"/>
      <c r="DB114" s="532"/>
      <c r="DC114" s="532"/>
      <c r="DD114" s="532"/>
      <c r="DE114" s="532"/>
      <c r="DF114" s="532"/>
      <c r="DG114" s="532"/>
      <c r="DH114" s="532"/>
      <c r="DI114" s="532"/>
      <c r="DJ114" s="532"/>
      <c r="DK114" s="532"/>
      <c r="DL114" s="560"/>
      <c r="DM114" s="560"/>
      <c r="DN114" s="560"/>
      <c r="DO114" s="560"/>
      <c r="DP114" s="560"/>
      <c r="DQ114" s="560"/>
      <c r="DR114" s="560"/>
      <c r="DS114" s="560"/>
      <c r="DT114" s="560"/>
      <c r="DU114" s="560"/>
      <c r="DV114" s="560"/>
      <c r="DW114" s="560"/>
      <c r="DX114" s="560"/>
      <c r="DY114" s="560"/>
      <c r="DZ114" s="560"/>
      <c r="EA114" s="560"/>
      <c r="EB114" s="560"/>
      <c r="EC114" s="560"/>
      <c r="ED114" s="585"/>
      <c r="EE114" s="585"/>
      <c r="EF114" s="532"/>
      <c r="EG114" s="532"/>
      <c r="EH114" s="532"/>
      <c r="EI114" s="532"/>
      <c r="EJ114" s="532"/>
      <c r="EK114" s="532"/>
      <c r="EL114" s="20"/>
      <c r="EM114" s="20"/>
      <c r="EN114" s="19"/>
      <c r="EO114" s="19"/>
      <c r="EP114" s="20"/>
      <c r="EQ114" s="20"/>
      <c r="ER114" s="20"/>
      <c r="ES114" s="20"/>
      <c r="ET114" s="20"/>
      <c r="EU114" s="20"/>
    </row>
    <row r="115" spans="1:151" ht="15.75" customHeight="1" x14ac:dyDescent="0.25">
      <c r="A115" s="1192"/>
      <c r="B115" s="1186"/>
      <c r="C115" s="1232"/>
      <c r="D115" s="1229"/>
      <c r="E115" s="1203"/>
      <c r="F115" s="1187">
        <f t="shared" si="102"/>
        <v>0</v>
      </c>
      <c r="G115" s="1188">
        <f t="shared" si="103"/>
        <v>0</v>
      </c>
      <c r="H115" s="1189">
        <f t="shared" si="104"/>
        <v>0</v>
      </c>
      <c r="I115" s="1188">
        <f t="shared" si="105"/>
        <v>0</v>
      </c>
      <c r="J115" s="1189">
        <f t="shared" si="106"/>
        <v>0</v>
      </c>
      <c r="K115" s="1965">
        <f t="shared" si="107"/>
        <v>0</v>
      </c>
      <c r="L115" s="1965"/>
      <c r="M115" s="1193">
        <f t="shared" si="108"/>
        <v>0</v>
      </c>
      <c r="N115" s="676"/>
      <c r="Q115" s="672">
        <f>+D115*F115/100*G115/100*H115/1000</f>
        <v>0</v>
      </c>
      <c r="R115" s="674">
        <f>+Q115*I115/100</f>
        <v>0</v>
      </c>
      <c r="S115" s="673">
        <f>+D115*F115/100</f>
        <v>0</v>
      </c>
      <c r="T115" s="673">
        <f>+D115-S115</f>
        <v>0</v>
      </c>
      <c r="U115" s="674">
        <f>+J115*$D115/1000</f>
        <v>0</v>
      </c>
      <c r="V115" s="674">
        <f>K115*$D115/1000</f>
        <v>0</v>
      </c>
      <c r="W115" s="675">
        <f>M115*$D115/1000</f>
        <v>0</v>
      </c>
      <c r="X115" s="678"/>
      <c r="Y115" s="678">
        <f>+D115*F115/100*G115/100</f>
        <v>0</v>
      </c>
      <c r="Z115" s="676">
        <f>IF(D115=0,0,Y115*H115/D115)</f>
        <v>0</v>
      </c>
      <c r="AA115" s="676">
        <f>D115*Z115*I115/100/22.26*0.01605</f>
        <v>0</v>
      </c>
      <c r="AB115" s="678">
        <f>D115*Z115*(1-I115/100)/22.26*0.04401</f>
        <v>0</v>
      </c>
      <c r="AC115" s="678">
        <f>+AA115+AB115</f>
        <v>0</v>
      </c>
      <c r="AD115" s="521">
        <f>+H115/887*100</f>
        <v>0</v>
      </c>
      <c r="AE115" s="521">
        <f>15.44*AD115/100</f>
        <v>0</v>
      </c>
      <c r="AF115" s="678">
        <f>+AC115-AG115</f>
        <v>0</v>
      </c>
      <c r="AG115" s="678">
        <f>+AC115*AE115/100</f>
        <v>0</v>
      </c>
      <c r="AH115" s="678" t="e">
        <f>+(D115*F115/100-AF115)/(D115-AC115)*100</f>
        <v>#DIV/0!</v>
      </c>
      <c r="AJ115" s="678"/>
      <c r="AK115" s="678"/>
      <c r="AL115" s="678">
        <f t="shared" si="109"/>
        <v>0</v>
      </c>
      <c r="AM115" s="678">
        <f t="shared" si="110"/>
        <v>0</v>
      </c>
      <c r="AN115" s="678">
        <f t="shared" si="111"/>
        <v>0</v>
      </c>
      <c r="AO115" s="678">
        <f t="shared" si="112"/>
        <v>0</v>
      </c>
      <c r="AP115" s="678">
        <f t="shared" si="113"/>
        <v>0</v>
      </c>
      <c r="AQ115" s="678">
        <f t="shared" si="100"/>
        <v>0</v>
      </c>
      <c r="AR115" s="678">
        <f t="shared" si="100"/>
        <v>0</v>
      </c>
      <c r="AS115" s="678">
        <f t="shared" si="100"/>
        <v>0</v>
      </c>
      <c r="AT115" s="678">
        <f t="shared" si="100"/>
        <v>0</v>
      </c>
      <c r="AU115" s="678">
        <f t="shared" si="100"/>
        <v>0</v>
      </c>
      <c r="AV115" s="1334" t="b">
        <v>1</v>
      </c>
      <c r="AW115" s="1113">
        <f>INDEX(Pflanzen!$BM$5:$BM$98,'Berechnung Nährstoffe und Lager'!$AX115)</f>
        <v>0</v>
      </c>
      <c r="AX115" s="532">
        <v>1</v>
      </c>
      <c r="AY115" s="532">
        <f>INDEX(Pflanzen!$K$5:$K$98,'Berechnung Nährstoffe und Lager'!$AX115)</f>
        <v>0</v>
      </c>
      <c r="AZ115" s="532">
        <f>INDEX(Pflanzen!$L$5:$L$98,'Berechnung Nährstoffe und Lager'!$AX115)</f>
        <v>0</v>
      </c>
      <c r="BA115" s="532">
        <f>INDEX(Pflanzen!$M$5:$M$98,'Berechnung Nährstoffe und Lager'!$AX115)</f>
        <v>0</v>
      </c>
      <c r="BB115" s="532">
        <f>INDEX(Pflanzen!$O$5:$O$98,'Berechnung Nährstoffe und Lager'!$AX115)</f>
        <v>0</v>
      </c>
      <c r="BC115" s="532">
        <f>INDEX(Pflanzen!$AV$5:$AV$98,'Berechnung Nährstoffe und Lager'!$AX115)</f>
        <v>0</v>
      </c>
      <c r="BD115" s="532">
        <f>INDEX(Pflanzen!$BA$5:$BA$98,'Berechnung Nährstoffe und Lager'!$AX115)</f>
        <v>0</v>
      </c>
      <c r="BE115" s="532">
        <f>INDEX(Pflanzen!$BC$5:$BC$98,'Berechnung Nährstoffe und Lager'!$AX115)</f>
        <v>0</v>
      </c>
      <c r="BF115" s="585">
        <f>IF(AW115=1,IF(AV115=FALSE,1,0),0)</f>
        <v>0</v>
      </c>
      <c r="BG115" s="590">
        <f t="shared" si="101"/>
        <v>0</v>
      </c>
      <c r="BH115" s="590">
        <f t="shared" si="101"/>
        <v>0</v>
      </c>
      <c r="BI115" s="532">
        <f>INDEX(Pflanzen!$BL$5:$BL100,'Berechnung Nährstoffe und Lager'!$AX115)</f>
        <v>0</v>
      </c>
      <c r="BJ115" s="585">
        <f>+BI115*D115</f>
        <v>0</v>
      </c>
      <c r="BK115" s="585"/>
      <c r="BM115" s="585"/>
      <c r="BN115" s="532">
        <f>INDEX(Pflanzen!$BN$5:$BN$98,'Berechnung Nährstoffe und Lager'!$AX115)</f>
        <v>0</v>
      </c>
      <c r="BO115" s="594">
        <f t="shared" si="114"/>
        <v>0</v>
      </c>
      <c r="BP115" s="585"/>
      <c r="BQ115" s="585"/>
      <c r="BR115" s="585"/>
      <c r="BS115" s="585"/>
      <c r="BT115" s="585"/>
      <c r="BU115" s="585"/>
      <c r="BV115" s="585"/>
      <c r="BW115" s="532"/>
      <c r="BX115" s="532"/>
      <c r="BY115" s="532"/>
      <c r="BZ115" s="532"/>
      <c r="CA115" s="532"/>
      <c r="CB115" s="532"/>
      <c r="CC115" s="532"/>
      <c r="CD115" s="532"/>
      <c r="CE115" s="532"/>
      <c r="CF115" s="532"/>
      <c r="CG115" s="532"/>
      <c r="CH115" s="532"/>
      <c r="CI115" s="560"/>
      <c r="CJ115" s="560"/>
      <c r="CK115" s="560"/>
      <c r="CL115" s="590"/>
      <c r="CM115" s="532"/>
      <c r="CN115" s="532"/>
      <c r="CO115" s="532"/>
      <c r="CP115" s="566"/>
      <c r="CQ115" s="566"/>
      <c r="CR115" s="566"/>
      <c r="CS115" s="566"/>
      <c r="CT115" s="566"/>
      <c r="CU115" s="532"/>
      <c r="CV115" s="532"/>
      <c r="CW115" s="532"/>
      <c r="CX115" s="532"/>
      <c r="CY115" s="532"/>
      <c r="CZ115" s="532"/>
      <c r="DA115" s="532"/>
      <c r="DB115" s="532"/>
      <c r="DC115" s="532"/>
      <c r="DD115" s="532"/>
      <c r="DE115" s="532"/>
      <c r="DF115" s="532"/>
      <c r="DG115" s="532"/>
      <c r="DH115" s="532"/>
      <c r="DI115" s="532"/>
      <c r="DJ115" s="532"/>
      <c r="DK115" s="532"/>
      <c r="DL115" s="560"/>
      <c r="DM115" s="560"/>
      <c r="DN115" s="560"/>
      <c r="DO115" s="560"/>
      <c r="DP115" s="560"/>
      <c r="DQ115" s="560"/>
      <c r="DR115" s="560"/>
      <c r="DS115" s="560"/>
      <c r="DT115" s="560"/>
      <c r="DU115" s="560"/>
      <c r="DV115" s="560"/>
      <c r="DW115" s="560"/>
      <c r="DX115" s="560"/>
      <c r="DY115" s="560"/>
      <c r="DZ115" s="560"/>
      <c r="EA115" s="560"/>
      <c r="EB115" s="560"/>
      <c r="EC115" s="560"/>
      <c r="ED115" s="585"/>
      <c r="EE115" s="585"/>
      <c r="EF115" s="532"/>
      <c r="EG115" s="532"/>
      <c r="EH115" s="532"/>
      <c r="EI115" s="532"/>
      <c r="EJ115" s="532"/>
      <c r="EK115" s="532"/>
      <c r="EL115" s="20"/>
      <c r="EM115" s="20"/>
      <c r="EN115" s="19"/>
      <c r="EO115" s="19"/>
      <c r="EP115" s="20"/>
      <c r="EQ115" s="20"/>
      <c r="ER115" s="20"/>
      <c r="ES115" s="20"/>
      <c r="ET115" s="20"/>
      <c r="EU115" s="20"/>
    </row>
    <row r="116" spans="1:151" ht="15.75" customHeight="1" x14ac:dyDescent="0.25">
      <c r="A116" s="1192"/>
      <c r="B116" s="1186"/>
      <c r="C116" s="1232"/>
      <c r="D116" s="1229"/>
      <c r="E116" s="1203"/>
      <c r="F116" s="1187">
        <f t="shared" si="102"/>
        <v>0</v>
      </c>
      <c r="G116" s="1188">
        <f t="shared" si="103"/>
        <v>0</v>
      </c>
      <c r="H116" s="1189">
        <f t="shared" si="104"/>
        <v>0</v>
      </c>
      <c r="I116" s="1188">
        <f t="shared" si="105"/>
        <v>0</v>
      </c>
      <c r="J116" s="1189">
        <f t="shared" si="106"/>
        <v>0</v>
      </c>
      <c r="K116" s="1965">
        <f t="shared" si="107"/>
        <v>0</v>
      </c>
      <c r="L116" s="1965"/>
      <c r="M116" s="1193">
        <f t="shared" si="108"/>
        <v>0</v>
      </c>
      <c r="N116" s="676"/>
      <c r="Q116" s="672">
        <f t="shared" ref="Q116:Q130" si="115">+D116*F116/100*G116/100*H116/1000</f>
        <v>0</v>
      </c>
      <c r="R116" s="674">
        <f t="shared" ref="R116:R130" si="116">+Q116*I116/100</f>
        <v>0</v>
      </c>
      <c r="S116" s="673">
        <f t="shared" ref="S116:S130" si="117">+D116*F116/100</f>
        <v>0</v>
      </c>
      <c r="T116" s="673">
        <f t="shared" ref="T116:T130" si="118">+D116-S116</f>
        <v>0</v>
      </c>
      <c r="U116" s="674">
        <f t="shared" ref="U116:U130" si="119">+J116*$D116/1000</f>
        <v>0</v>
      </c>
      <c r="V116" s="674">
        <f t="shared" ref="V116:V130" si="120">K116*$D116/1000</f>
        <v>0</v>
      </c>
      <c r="W116" s="675">
        <f t="shared" ref="W116:W130" si="121">M116*$D116/1000</f>
        <v>0</v>
      </c>
      <c r="X116" s="678"/>
      <c r="Y116" s="678">
        <f t="shared" ref="Y116:Y130" si="122">+D116*F116/100*G116/100</f>
        <v>0</v>
      </c>
      <c r="Z116" s="676">
        <f t="shared" ref="Z116:Z130" si="123">IF(D116=0,0,Y116*H116/D116)</f>
        <v>0</v>
      </c>
      <c r="AA116" s="676">
        <f t="shared" ref="AA116:AA130" si="124">D116*Z116*I116/100/22.26*0.01605</f>
        <v>0</v>
      </c>
      <c r="AB116" s="678">
        <f t="shared" ref="AB116:AB130" si="125">D116*Z116*(1-I116/100)/22.26*0.04401</f>
        <v>0</v>
      </c>
      <c r="AC116" s="678">
        <f t="shared" ref="AC116:AC130" si="126">+AA116+AB116</f>
        <v>0</v>
      </c>
      <c r="AD116" s="521">
        <f t="shared" ref="AD116:AD130" si="127">+H116/887*100</f>
        <v>0</v>
      </c>
      <c r="AE116" s="521">
        <f t="shared" ref="AE116:AE130" si="128">15.44*AD116/100</f>
        <v>0</v>
      </c>
      <c r="AF116" s="678">
        <f t="shared" ref="AF116:AF130" si="129">+AC116-AG116</f>
        <v>0</v>
      </c>
      <c r="AG116" s="678">
        <f t="shared" ref="AG116:AG130" si="130">+AC116*AE116/100</f>
        <v>0</v>
      </c>
      <c r="AH116" s="678" t="e">
        <f t="shared" ref="AH116:AH130" si="131">+(D116*F116/100-AF116)/(D116-AC116)*100</f>
        <v>#DIV/0!</v>
      </c>
      <c r="AJ116" s="678"/>
      <c r="AK116" s="678"/>
      <c r="AL116" s="678">
        <f t="shared" si="109"/>
        <v>0</v>
      </c>
      <c r="AM116" s="678">
        <f t="shared" si="110"/>
        <v>0</v>
      </c>
      <c r="AN116" s="678">
        <f t="shared" si="111"/>
        <v>0</v>
      </c>
      <c r="AO116" s="678">
        <f t="shared" si="112"/>
        <v>0</v>
      </c>
      <c r="AP116" s="678">
        <f t="shared" si="113"/>
        <v>0</v>
      </c>
      <c r="AQ116" s="678">
        <f t="shared" ref="AQ116:AQ130" si="132">+S116-AL116</f>
        <v>0</v>
      </c>
      <c r="AR116" s="678">
        <f t="shared" ref="AR116:AR130" si="133">+T116-AM116</f>
        <v>0</v>
      </c>
      <c r="AS116" s="678">
        <f t="shared" ref="AS116:AS130" si="134">+U116-AN116</f>
        <v>0</v>
      </c>
      <c r="AT116" s="678">
        <f t="shared" ref="AT116:AT130" si="135">+V116-AO116</f>
        <v>0</v>
      </c>
      <c r="AU116" s="678">
        <f t="shared" ref="AU116:AU130" si="136">+W116-AP116</f>
        <v>0</v>
      </c>
      <c r="AV116" s="1334" t="b">
        <v>1</v>
      </c>
      <c r="AW116" s="1113">
        <f>INDEX(Pflanzen!$BM$5:$BM$98,'Berechnung Nährstoffe und Lager'!$AX116)</f>
        <v>0</v>
      </c>
      <c r="AX116" s="532">
        <v>1</v>
      </c>
      <c r="AY116" s="532">
        <f>INDEX(Pflanzen!$K$5:$K$98,'Berechnung Nährstoffe und Lager'!$AX116)</f>
        <v>0</v>
      </c>
      <c r="AZ116" s="532">
        <f>INDEX(Pflanzen!$L$5:$L$98,'Berechnung Nährstoffe und Lager'!$AX116)</f>
        <v>0</v>
      </c>
      <c r="BA116" s="532">
        <f>INDEX(Pflanzen!$M$5:$M$98,'Berechnung Nährstoffe und Lager'!$AX116)</f>
        <v>0</v>
      </c>
      <c r="BB116" s="532">
        <f>INDEX(Pflanzen!$O$5:$O$98,'Berechnung Nährstoffe und Lager'!$AX116)</f>
        <v>0</v>
      </c>
      <c r="BC116" s="532">
        <f>INDEX(Pflanzen!$AV$5:$AV$98,'Berechnung Nährstoffe und Lager'!$AX116)</f>
        <v>0</v>
      </c>
      <c r="BD116" s="532">
        <f>INDEX(Pflanzen!$BA$5:$BA$98,'Berechnung Nährstoffe und Lager'!$AX116)</f>
        <v>0</v>
      </c>
      <c r="BE116" s="532">
        <f>INDEX(Pflanzen!$BC$5:$BC$98,'Berechnung Nährstoffe und Lager'!$AX116)</f>
        <v>0</v>
      </c>
      <c r="BF116" s="585">
        <f t="shared" ref="BF116:BF130" si="137">IF(AW116=1,IF(AV116=FALSE,1,0),0)</f>
        <v>0</v>
      </c>
      <c r="BG116" s="590">
        <f t="shared" ref="BG116:BG130" si="138">IF($AW116=1,AN116,0)</f>
        <v>0</v>
      </c>
      <c r="BH116" s="590">
        <f t="shared" ref="BH116:BH130" si="139">IF($AW116=1,AO116,0)</f>
        <v>0</v>
      </c>
      <c r="BI116" s="532">
        <f>INDEX(Pflanzen!$BL$5:$BL101,'Berechnung Nährstoffe und Lager'!$AX116)</f>
        <v>0</v>
      </c>
      <c r="BJ116" s="585">
        <f t="shared" ref="BJ116:BJ130" si="140">+BI116*D116</f>
        <v>0</v>
      </c>
      <c r="BK116" s="585"/>
      <c r="BM116" s="585"/>
      <c r="BN116" s="532">
        <f>INDEX(Pflanzen!$BN$5:$BN$98,'Berechnung Nährstoffe und Lager'!$AX116)</f>
        <v>0</v>
      </c>
      <c r="BO116" s="594">
        <f t="shared" si="114"/>
        <v>0</v>
      </c>
      <c r="BP116" s="585"/>
      <c r="BQ116" s="585"/>
      <c r="BR116" s="585"/>
      <c r="BS116" s="585"/>
      <c r="BT116" s="585"/>
      <c r="BU116" s="585"/>
      <c r="BV116" s="585"/>
      <c r="BW116" s="532"/>
      <c r="BX116" s="532"/>
      <c r="BY116" s="532"/>
      <c r="BZ116" s="532"/>
      <c r="CA116" s="532"/>
      <c r="CB116" s="532"/>
      <c r="CC116" s="532"/>
      <c r="CD116" s="532"/>
      <c r="CE116" s="532"/>
      <c r="CF116" s="532"/>
      <c r="CG116" s="532"/>
      <c r="CH116" s="532"/>
      <c r="CI116" s="560"/>
      <c r="CJ116" s="560"/>
      <c r="CK116" s="560"/>
      <c r="CL116" s="590"/>
      <c r="CM116" s="532"/>
      <c r="CN116" s="532"/>
      <c r="CO116" s="532"/>
      <c r="CP116" s="566"/>
      <c r="CQ116" s="566"/>
      <c r="CR116" s="566"/>
      <c r="CS116" s="566"/>
      <c r="CT116" s="566"/>
      <c r="CU116" s="532"/>
      <c r="CV116" s="532"/>
      <c r="CW116" s="532"/>
      <c r="CX116" s="532"/>
      <c r="CY116" s="532"/>
      <c r="CZ116" s="532"/>
      <c r="DA116" s="532"/>
      <c r="DB116" s="532"/>
      <c r="DC116" s="532"/>
      <c r="DD116" s="532"/>
      <c r="DE116" s="532"/>
      <c r="DF116" s="532"/>
      <c r="DG116" s="532"/>
      <c r="DH116" s="532"/>
      <c r="DI116" s="532"/>
      <c r="DJ116" s="532"/>
      <c r="DK116" s="532"/>
      <c r="DL116" s="560"/>
      <c r="DM116" s="560"/>
      <c r="DN116" s="560"/>
      <c r="DO116" s="560"/>
      <c r="DP116" s="560"/>
      <c r="DQ116" s="560"/>
      <c r="DR116" s="560"/>
      <c r="DS116" s="560"/>
      <c r="DT116" s="560"/>
      <c r="DU116" s="560"/>
      <c r="DV116" s="560"/>
      <c r="DW116" s="560"/>
      <c r="DX116" s="560"/>
      <c r="DY116" s="560"/>
      <c r="DZ116" s="560"/>
      <c r="EA116" s="560"/>
      <c r="EB116" s="560"/>
      <c r="EC116" s="560"/>
      <c r="ED116" s="585"/>
      <c r="EE116" s="585"/>
      <c r="EF116" s="532"/>
      <c r="EG116" s="532"/>
      <c r="EH116" s="532"/>
      <c r="EI116" s="532"/>
      <c r="EJ116" s="532"/>
      <c r="EK116" s="532"/>
      <c r="EL116" s="20"/>
      <c r="EM116" s="20"/>
      <c r="EN116" s="19"/>
      <c r="EO116" s="19"/>
      <c r="EP116" s="20"/>
      <c r="EQ116" s="20"/>
      <c r="ER116" s="20"/>
      <c r="ES116" s="20"/>
      <c r="ET116" s="20"/>
      <c r="EU116" s="20"/>
    </row>
    <row r="117" spans="1:151" ht="15.75" customHeight="1" x14ac:dyDescent="0.25">
      <c r="A117" s="1192"/>
      <c r="B117" s="1186"/>
      <c r="C117" s="1232"/>
      <c r="D117" s="1229"/>
      <c r="E117" s="1203"/>
      <c r="F117" s="1187">
        <f t="shared" si="102"/>
        <v>0</v>
      </c>
      <c r="G117" s="1188">
        <f t="shared" si="103"/>
        <v>0</v>
      </c>
      <c r="H117" s="1189">
        <f t="shared" si="104"/>
        <v>0</v>
      </c>
      <c r="I117" s="1188">
        <f t="shared" si="105"/>
        <v>0</v>
      </c>
      <c r="J117" s="1189">
        <f t="shared" si="106"/>
        <v>0</v>
      </c>
      <c r="K117" s="1965">
        <f t="shared" si="107"/>
        <v>0</v>
      </c>
      <c r="L117" s="1965"/>
      <c r="M117" s="1193">
        <f t="shared" si="108"/>
        <v>0</v>
      </c>
      <c r="N117" s="676"/>
      <c r="Q117" s="672">
        <f t="shared" si="115"/>
        <v>0</v>
      </c>
      <c r="R117" s="674">
        <f t="shared" si="116"/>
        <v>0</v>
      </c>
      <c r="S117" s="673">
        <f t="shared" si="117"/>
        <v>0</v>
      </c>
      <c r="T117" s="673">
        <f t="shared" si="118"/>
        <v>0</v>
      </c>
      <c r="U117" s="674">
        <f t="shared" si="119"/>
        <v>0</v>
      </c>
      <c r="V117" s="674">
        <f t="shared" si="120"/>
        <v>0</v>
      </c>
      <c r="W117" s="675">
        <f t="shared" si="121"/>
        <v>0</v>
      </c>
      <c r="X117" s="678"/>
      <c r="Y117" s="678">
        <f t="shared" si="122"/>
        <v>0</v>
      </c>
      <c r="Z117" s="676">
        <f t="shared" si="123"/>
        <v>0</v>
      </c>
      <c r="AA117" s="676">
        <f t="shared" si="124"/>
        <v>0</v>
      </c>
      <c r="AB117" s="678">
        <f t="shared" si="125"/>
        <v>0</v>
      </c>
      <c r="AC117" s="678">
        <f t="shared" si="126"/>
        <v>0</v>
      </c>
      <c r="AD117" s="521">
        <f t="shared" si="127"/>
        <v>0</v>
      </c>
      <c r="AE117" s="521">
        <f t="shared" si="128"/>
        <v>0</v>
      </c>
      <c r="AF117" s="678">
        <f t="shared" si="129"/>
        <v>0</v>
      </c>
      <c r="AG117" s="678">
        <f t="shared" si="130"/>
        <v>0</v>
      </c>
      <c r="AH117" s="678" t="e">
        <f t="shared" si="131"/>
        <v>#DIV/0!</v>
      </c>
      <c r="AJ117" s="678"/>
      <c r="AK117" s="678"/>
      <c r="AL117" s="678">
        <f t="shared" si="109"/>
        <v>0</v>
      </c>
      <c r="AM117" s="678">
        <f t="shared" si="110"/>
        <v>0</v>
      </c>
      <c r="AN117" s="678">
        <f t="shared" si="111"/>
        <v>0</v>
      </c>
      <c r="AO117" s="678">
        <f t="shared" si="112"/>
        <v>0</v>
      </c>
      <c r="AP117" s="678">
        <f t="shared" si="113"/>
        <v>0</v>
      </c>
      <c r="AQ117" s="678">
        <f t="shared" si="132"/>
        <v>0</v>
      </c>
      <c r="AR117" s="678">
        <f t="shared" si="133"/>
        <v>0</v>
      </c>
      <c r="AS117" s="678">
        <f t="shared" si="134"/>
        <v>0</v>
      </c>
      <c r="AT117" s="678">
        <f t="shared" si="135"/>
        <v>0</v>
      </c>
      <c r="AU117" s="678">
        <f t="shared" si="136"/>
        <v>0</v>
      </c>
      <c r="AV117" s="1334" t="b">
        <v>1</v>
      </c>
      <c r="AW117" s="1113">
        <f>INDEX(Pflanzen!$BM$5:$BM$98,'Berechnung Nährstoffe und Lager'!$AX117)</f>
        <v>0</v>
      </c>
      <c r="AX117" s="532">
        <v>1</v>
      </c>
      <c r="AY117" s="532">
        <f>INDEX(Pflanzen!$K$5:$K$98,'Berechnung Nährstoffe und Lager'!$AX117)</f>
        <v>0</v>
      </c>
      <c r="AZ117" s="532">
        <f>INDEX(Pflanzen!$L$5:$L$98,'Berechnung Nährstoffe und Lager'!$AX117)</f>
        <v>0</v>
      </c>
      <c r="BA117" s="532">
        <f>INDEX(Pflanzen!$M$5:$M$98,'Berechnung Nährstoffe und Lager'!$AX117)</f>
        <v>0</v>
      </c>
      <c r="BB117" s="532">
        <f>INDEX(Pflanzen!$O$5:$O$98,'Berechnung Nährstoffe und Lager'!$AX117)</f>
        <v>0</v>
      </c>
      <c r="BC117" s="532">
        <f>INDEX(Pflanzen!$AV$5:$AV$98,'Berechnung Nährstoffe und Lager'!$AX117)</f>
        <v>0</v>
      </c>
      <c r="BD117" s="532">
        <f>INDEX(Pflanzen!$BA$5:$BA$98,'Berechnung Nährstoffe und Lager'!$AX117)</f>
        <v>0</v>
      </c>
      <c r="BE117" s="532">
        <f>INDEX(Pflanzen!$BC$5:$BC$98,'Berechnung Nährstoffe und Lager'!$AX117)</f>
        <v>0</v>
      </c>
      <c r="BF117" s="585">
        <f t="shared" si="137"/>
        <v>0</v>
      </c>
      <c r="BG117" s="590">
        <f t="shared" si="138"/>
        <v>0</v>
      </c>
      <c r="BH117" s="590">
        <f t="shared" si="139"/>
        <v>0</v>
      </c>
      <c r="BI117" s="532">
        <f>INDEX(Pflanzen!$BL$5:$BL102,'Berechnung Nährstoffe und Lager'!$AX117)</f>
        <v>0</v>
      </c>
      <c r="BJ117" s="585">
        <f t="shared" si="140"/>
        <v>0</v>
      </c>
      <c r="BK117" s="585"/>
      <c r="BM117" s="585"/>
      <c r="BN117" s="532">
        <f>INDEX(Pflanzen!$BN$5:$BN$98,'Berechnung Nährstoffe und Lager'!$AX117)</f>
        <v>0</v>
      </c>
      <c r="BO117" s="594">
        <f t="shared" si="114"/>
        <v>0</v>
      </c>
      <c r="BP117" s="585"/>
      <c r="BQ117" s="585"/>
      <c r="BR117" s="585"/>
      <c r="BS117" s="585"/>
      <c r="BT117" s="585"/>
      <c r="BU117" s="585"/>
      <c r="BV117" s="585"/>
      <c r="BW117" s="532"/>
      <c r="BX117" s="532"/>
      <c r="BY117" s="532"/>
      <c r="BZ117" s="532"/>
      <c r="CA117" s="532"/>
      <c r="CB117" s="532"/>
      <c r="CC117" s="532"/>
      <c r="CD117" s="532"/>
      <c r="CE117" s="532"/>
      <c r="CF117" s="532"/>
      <c r="CG117" s="532"/>
      <c r="CH117" s="532"/>
      <c r="CI117" s="560"/>
      <c r="CJ117" s="560"/>
      <c r="CK117" s="560"/>
      <c r="CL117" s="590"/>
      <c r="CM117" s="532"/>
      <c r="CN117" s="532"/>
      <c r="CO117" s="532"/>
      <c r="CP117" s="566"/>
      <c r="CQ117" s="566"/>
      <c r="CR117" s="566"/>
      <c r="CS117" s="566"/>
      <c r="CT117" s="566"/>
      <c r="CU117" s="532"/>
      <c r="CV117" s="532"/>
      <c r="CW117" s="532"/>
      <c r="CX117" s="532"/>
      <c r="CY117" s="532"/>
      <c r="CZ117" s="532"/>
      <c r="DA117" s="532"/>
      <c r="DB117" s="532"/>
      <c r="DC117" s="532"/>
      <c r="DD117" s="532"/>
      <c r="DE117" s="532"/>
      <c r="DF117" s="532"/>
      <c r="DG117" s="532"/>
      <c r="DH117" s="532"/>
      <c r="DI117" s="532"/>
      <c r="DJ117" s="532"/>
      <c r="DK117" s="532"/>
      <c r="DL117" s="560"/>
      <c r="DM117" s="560"/>
      <c r="DN117" s="560"/>
      <c r="DO117" s="560"/>
      <c r="DP117" s="560"/>
      <c r="DQ117" s="560"/>
      <c r="DR117" s="560"/>
      <c r="DS117" s="560"/>
      <c r="DT117" s="560"/>
      <c r="DU117" s="560"/>
      <c r="DV117" s="560"/>
      <c r="DW117" s="560"/>
      <c r="DX117" s="560"/>
      <c r="DY117" s="560"/>
      <c r="DZ117" s="560"/>
      <c r="EA117" s="560"/>
      <c r="EB117" s="560"/>
      <c r="EC117" s="560"/>
      <c r="ED117" s="585"/>
      <c r="EE117" s="585"/>
      <c r="EF117" s="532"/>
      <c r="EG117" s="532"/>
      <c r="EH117" s="532"/>
      <c r="EI117" s="532"/>
      <c r="EJ117" s="532"/>
      <c r="EK117" s="532"/>
      <c r="EL117" s="20"/>
      <c r="EM117" s="20"/>
      <c r="EN117" s="19"/>
      <c r="EO117" s="19"/>
      <c r="EP117" s="20"/>
      <c r="EQ117" s="20"/>
      <c r="ER117" s="20"/>
      <c r="ES117" s="20"/>
      <c r="ET117" s="20"/>
      <c r="EU117" s="20"/>
    </row>
    <row r="118" spans="1:151" ht="15.75" customHeight="1" x14ac:dyDescent="0.25">
      <c r="A118" s="1192"/>
      <c r="B118" s="1186"/>
      <c r="C118" s="1232"/>
      <c r="D118" s="1229"/>
      <c r="E118" s="1203"/>
      <c r="F118" s="1187">
        <f t="shared" si="102"/>
        <v>0</v>
      </c>
      <c r="G118" s="1188">
        <f t="shared" si="103"/>
        <v>0</v>
      </c>
      <c r="H118" s="1189">
        <f t="shared" si="104"/>
        <v>0</v>
      </c>
      <c r="I118" s="1188">
        <f t="shared" si="105"/>
        <v>0</v>
      </c>
      <c r="J118" s="1189">
        <f t="shared" si="106"/>
        <v>0</v>
      </c>
      <c r="K118" s="1965">
        <f t="shared" si="107"/>
        <v>0</v>
      </c>
      <c r="L118" s="1965"/>
      <c r="M118" s="1193">
        <f t="shared" si="108"/>
        <v>0</v>
      </c>
      <c r="N118" s="676"/>
      <c r="Q118" s="672">
        <f t="shared" si="115"/>
        <v>0</v>
      </c>
      <c r="R118" s="674">
        <f t="shared" si="116"/>
        <v>0</v>
      </c>
      <c r="S118" s="673">
        <f t="shared" si="117"/>
        <v>0</v>
      </c>
      <c r="T118" s="673">
        <f t="shared" si="118"/>
        <v>0</v>
      </c>
      <c r="U118" s="674">
        <f t="shared" si="119"/>
        <v>0</v>
      </c>
      <c r="V118" s="674">
        <f t="shared" si="120"/>
        <v>0</v>
      </c>
      <c r="W118" s="675">
        <f t="shared" si="121"/>
        <v>0</v>
      </c>
      <c r="X118" s="678"/>
      <c r="Y118" s="678">
        <f t="shared" si="122"/>
        <v>0</v>
      </c>
      <c r="Z118" s="676">
        <f t="shared" si="123"/>
        <v>0</v>
      </c>
      <c r="AA118" s="676">
        <f t="shared" si="124"/>
        <v>0</v>
      </c>
      <c r="AB118" s="678">
        <f t="shared" si="125"/>
        <v>0</v>
      </c>
      <c r="AC118" s="678">
        <f t="shared" si="126"/>
        <v>0</v>
      </c>
      <c r="AD118" s="521">
        <f t="shared" si="127"/>
        <v>0</v>
      </c>
      <c r="AE118" s="521">
        <f t="shared" si="128"/>
        <v>0</v>
      </c>
      <c r="AF118" s="678">
        <f t="shared" si="129"/>
        <v>0</v>
      </c>
      <c r="AG118" s="678">
        <f t="shared" si="130"/>
        <v>0</v>
      </c>
      <c r="AH118" s="678" t="e">
        <f t="shared" si="131"/>
        <v>#DIV/0!</v>
      </c>
      <c r="AJ118" s="678"/>
      <c r="AK118" s="678"/>
      <c r="AL118" s="678">
        <f t="shared" si="109"/>
        <v>0</v>
      </c>
      <c r="AM118" s="678">
        <f t="shared" si="110"/>
        <v>0</v>
      </c>
      <c r="AN118" s="678">
        <f t="shared" si="111"/>
        <v>0</v>
      </c>
      <c r="AO118" s="678">
        <f t="shared" si="112"/>
        <v>0</v>
      </c>
      <c r="AP118" s="678">
        <f t="shared" si="113"/>
        <v>0</v>
      </c>
      <c r="AQ118" s="678">
        <f t="shared" si="132"/>
        <v>0</v>
      </c>
      <c r="AR118" s="678">
        <f t="shared" si="133"/>
        <v>0</v>
      </c>
      <c r="AS118" s="678">
        <f t="shared" si="134"/>
        <v>0</v>
      </c>
      <c r="AT118" s="678">
        <f t="shared" si="135"/>
        <v>0</v>
      </c>
      <c r="AU118" s="678">
        <f t="shared" si="136"/>
        <v>0</v>
      </c>
      <c r="AV118" s="1334" t="b">
        <v>1</v>
      </c>
      <c r="AW118" s="1113">
        <f>INDEX(Pflanzen!$BM$5:$BM$98,'Berechnung Nährstoffe und Lager'!$AX118)</f>
        <v>0</v>
      </c>
      <c r="AX118" s="532">
        <v>1</v>
      </c>
      <c r="AY118" s="532">
        <f>INDEX(Pflanzen!$K$5:$K$98,'Berechnung Nährstoffe und Lager'!$AX118)</f>
        <v>0</v>
      </c>
      <c r="AZ118" s="532">
        <f>INDEX(Pflanzen!$L$5:$L$98,'Berechnung Nährstoffe und Lager'!$AX118)</f>
        <v>0</v>
      </c>
      <c r="BA118" s="532">
        <f>INDEX(Pflanzen!$M$5:$M$98,'Berechnung Nährstoffe und Lager'!$AX118)</f>
        <v>0</v>
      </c>
      <c r="BB118" s="532">
        <f>INDEX(Pflanzen!$O$5:$O$98,'Berechnung Nährstoffe und Lager'!$AX118)</f>
        <v>0</v>
      </c>
      <c r="BC118" s="532">
        <f>INDEX(Pflanzen!$AV$5:$AV$98,'Berechnung Nährstoffe und Lager'!$AX118)</f>
        <v>0</v>
      </c>
      <c r="BD118" s="532">
        <f>INDEX(Pflanzen!$BA$5:$BA$98,'Berechnung Nährstoffe und Lager'!$AX118)</f>
        <v>0</v>
      </c>
      <c r="BE118" s="532">
        <f>INDEX(Pflanzen!$BC$5:$BC$98,'Berechnung Nährstoffe und Lager'!$AX118)</f>
        <v>0</v>
      </c>
      <c r="BF118" s="585">
        <f t="shared" si="137"/>
        <v>0</v>
      </c>
      <c r="BG118" s="590">
        <f t="shared" si="138"/>
        <v>0</v>
      </c>
      <c r="BH118" s="590">
        <f t="shared" si="139"/>
        <v>0</v>
      </c>
      <c r="BI118" s="532">
        <f>INDEX(Pflanzen!$BL$5:$BL103,'Berechnung Nährstoffe und Lager'!$AX118)</f>
        <v>0</v>
      </c>
      <c r="BJ118" s="585">
        <f t="shared" si="140"/>
        <v>0</v>
      </c>
      <c r="BK118" s="585"/>
      <c r="BM118" s="585"/>
      <c r="BN118" s="532">
        <f>INDEX(Pflanzen!$BN$5:$BN$98,'Berechnung Nährstoffe und Lager'!$AX118)</f>
        <v>0</v>
      </c>
      <c r="BO118" s="594">
        <f t="shared" si="114"/>
        <v>0</v>
      </c>
      <c r="BP118" s="585"/>
      <c r="BQ118" s="585"/>
      <c r="BR118" s="585"/>
      <c r="BS118" s="585"/>
      <c r="BT118" s="585"/>
      <c r="BU118" s="585"/>
      <c r="BV118" s="585"/>
      <c r="BW118" s="532"/>
      <c r="BX118" s="532"/>
      <c r="BY118" s="532"/>
      <c r="BZ118" s="532"/>
      <c r="CA118" s="532"/>
      <c r="CB118" s="532"/>
      <c r="CC118" s="532"/>
      <c r="CD118" s="532"/>
      <c r="CE118" s="532"/>
      <c r="CF118" s="532"/>
      <c r="CG118" s="532"/>
      <c r="CH118" s="532"/>
      <c r="CI118" s="560"/>
      <c r="CJ118" s="560"/>
      <c r="CK118" s="560"/>
      <c r="CL118" s="590"/>
      <c r="CM118" s="532"/>
      <c r="CN118" s="532"/>
      <c r="CO118" s="532"/>
      <c r="CP118" s="566"/>
      <c r="CQ118" s="566"/>
      <c r="CR118" s="566"/>
      <c r="CS118" s="566"/>
      <c r="CT118" s="566"/>
      <c r="CU118" s="532"/>
      <c r="CV118" s="532"/>
      <c r="CW118" s="532"/>
      <c r="CX118" s="532"/>
      <c r="CY118" s="532"/>
      <c r="CZ118" s="532"/>
      <c r="DA118" s="532"/>
      <c r="DB118" s="532"/>
      <c r="DC118" s="532"/>
      <c r="DD118" s="532"/>
      <c r="DE118" s="532"/>
      <c r="DF118" s="532"/>
      <c r="DG118" s="532"/>
      <c r="DH118" s="532"/>
      <c r="DI118" s="532"/>
      <c r="DJ118" s="532"/>
      <c r="DK118" s="532"/>
      <c r="DL118" s="560"/>
      <c r="DM118" s="560"/>
      <c r="DN118" s="560"/>
      <c r="DO118" s="560"/>
      <c r="DP118" s="560"/>
      <c r="DQ118" s="560"/>
      <c r="DR118" s="560"/>
      <c r="DS118" s="560"/>
      <c r="DT118" s="560"/>
      <c r="DU118" s="560"/>
      <c r="DV118" s="560"/>
      <c r="DW118" s="560"/>
      <c r="DX118" s="560"/>
      <c r="DY118" s="560"/>
      <c r="DZ118" s="560"/>
      <c r="EA118" s="560"/>
      <c r="EB118" s="560"/>
      <c r="EC118" s="560"/>
      <c r="ED118" s="585"/>
      <c r="EE118" s="585"/>
      <c r="EF118" s="532"/>
      <c r="EG118" s="532"/>
      <c r="EH118" s="532"/>
      <c r="EI118" s="532"/>
      <c r="EJ118" s="532"/>
      <c r="EK118" s="532"/>
      <c r="EL118" s="20"/>
      <c r="EM118" s="20"/>
      <c r="EN118" s="19"/>
      <c r="EO118" s="19"/>
      <c r="EP118" s="20"/>
      <c r="EQ118" s="20"/>
      <c r="ER118" s="20"/>
      <c r="ES118" s="20"/>
      <c r="ET118" s="20"/>
      <c r="EU118" s="20"/>
    </row>
    <row r="119" spans="1:151" ht="15.75" customHeight="1" x14ac:dyDescent="0.25">
      <c r="A119" s="1192"/>
      <c r="B119" s="1186"/>
      <c r="C119" s="1232"/>
      <c r="D119" s="1229"/>
      <c r="E119" s="1203"/>
      <c r="F119" s="1187">
        <f t="shared" si="102"/>
        <v>0</v>
      </c>
      <c r="G119" s="1188">
        <f t="shared" si="103"/>
        <v>0</v>
      </c>
      <c r="H119" s="1189">
        <f t="shared" si="104"/>
        <v>0</v>
      </c>
      <c r="I119" s="1188">
        <f t="shared" si="105"/>
        <v>0</v>
      </c>
      <c r="J119" s="1189">
        <f t="shared" si="106"/>
        <v>0</v>
      </c>
      <c r="K119" s="1965">
        <f t="shared" si="107"/>
        <v>0</v>
      </c>
      <c r="L119" s="1965"/>
      <c r="M119" s="1193">
        <f t="shared" si="108"/>
        <v>0</v>
      </c>
      <c r="N119" s="676"/>
      <c r="Q119" s="672">
        <f t="shared" si="115"/>
        <v>0</v>
      </c>
      <c r="R119" s="674">
        <f t="shared" si="116"/>
        <v>0</v>
      </c>
      <c r="S119" s="673">
        <f t="shared" si="117"/>
        <v>0</v>
      </c>
      <c r="T119" s="673">
        <f t="shared" si="118"/>
        <v>0</v>
      </c>
      <c r="U119" s="674">
        <f t="shared" si="119"/>
        <v>0</v>
      </c>
      <c r="V119" s="674">
        <f t="shared" si="120"/>
        <v>0</v>
      </c>
      <c r="W119" s="675">
        <f t="shared" si="121"/>
        <v>0</v>
      </c>
      <c r="X119" s="678"/>
      <c r="Y119" s="678">
        <f t="shared" si="122"/>
        <v>0</v>
      </c>
      <c r="Z119" s="676">
        <f t="shared" si="123"/>
        <v>0</v>
      </c>
      <c r="AA119" s="676">
        <f t="shared" si="124"/>
        <v>0</v>
      </c>
      <c r="AB119" s="678">
        <f t="shared" si="125"/>
        <v>0</v>
      </c>
      <c r="AC119" s="678">
        <f t="shared" si="126"/>
        <v>0</v>
      </c>
      <c r="AD119" s="521">
        <f t="shared" si="127"/>
        <v>0</v>
      </c>
      <c r="AE119" s="521">
        <f t="shared" si="128"/>
        <v>0</v>
      </c>
      <c r="AF119" s="678">
        <f t="shared" si="129"/>
        <v>0</v>
      </c>
      <c r="AG119" s="678">
        <f t="shared" si="130"/>
        <v>0</v>
      </c>
      <c r="AH119" s="678" t="e">
        <f t="shared" si="131"/>
        <v>#DIV/0!</v>
      </c>
      <c r="AJ119" s="678"/>
      <c r="AK119" s="678"/>
      <c r="AL119" s="678">
        <f t="shared" si="109"/>
        <v>0</v>
      </c>
      <c r="AM119" s="678">
        <f t="shared" si="110"/>
        <v>0</v>
      </c>
      <c r="AN119" s="678">
        <f t="shared" si="111"/>
        <v>0</v>
      </c>
      <c r="AO119" s="678">
        <f t="shared" si="112"/>
        <v>0</v>
      </c>
      <c r="AP119" s="678">
        <f t="shared" si="113"/>
        <v>0</v>
      </c>
      <c r="AQ119" s="678">
        <f t="shared" si="132"/>
        <v>0</v>
      </c>
      <c r="AR119" s="678">
        <f t="shared" si="133"/>
        <v>0</v>
      </c>
      <c r="AS119" s="678">
        <f t="shared" si="134"/>
        <v>0</v>
      </c>
      <c r="AT119" s="678">
        <f t="shared" si="135"/>
        <v>0</v>
      </c>
      <c r="AU119" s="678">
        <f t="shared" si="136"/>
        <v>0</v>
      </c>
      <c r="AV119" s="1334" t="b">
        <v>1</v>
      </c>
      <c r="AW119" s="1113">
        <f>INDEX(Pflanzen!$BM$5:$BM$98,'Berechnung Nährstoffe und Lager'!$AX119)</f>
        <v>0</v>
      </c>
      <c r="AX119" s="532">
        <v>1</v>
      </c>
      <c r="AY119" s="532">
        <f>INDEX(Pflanzen!$K$5:$K$98,'Berechnung Nährstoffe und Lager'!$AX119)</f>
        <v>0</v>
      </c>
      <c r="AZ119" s="532">
        <f>INDEX(Pflanzen!$L$5:$L$98,'Berechnung Nährstoffe und Lager'!$AX119)</f>
        <v>0</v>
      </c>
      <c r="BA119" s="532">
        <f>INDEX(Pflanzen!$M$5:$M$98,'Berechnung Nährstoffe und Lager'!$AX119)</f>
        <v>0</v>
      </c>
      <c r="BB119" s="532">
        <f>INDEX(Pflanzen!$O$5:$O$98,'Berechnung Nährstoffe und Lager'!$AX119)</f>
        <v>0</v>
      </c>
      <c r="BC119" s="532">
        <f>INDEX(Pflanzen!$AV$5:$AV$98,'Berechnung Nährstoffe und Lager'!$AX119)</f>
        <v>0</v>
      </c>
      <c r="BD119" s="532">
        <f>INDEX(Pflanzen!$BA$5:$BA$98,'Berechnung Nährstoffe und Lager'!$AX119)</f>
        <v>0</v>
      </c>
      <c r="BE119" s="532">
        <f>INDEX(Pflanzen!$BC$5:$BC$98,'Berechnung Nährstoffe und Lager'!$AX119)</f>
        <v>0</v>
      </c>
      <c r="BF119" s="585">
        <f t="shared" si="137"/>
        <v>0</v>
      </c>
      <c r="BG119" s="590">
        <f t="shared" si="138"/>
        <v>0</v>
      </c>
      <c r="BH119" s="590">
        <f t="shared" si="139"/>
        <v>0</v>
      </c>
      <c r="BI119" s="532">
        <f>INDEX(Pflanzen!$BL$5:$BL104,'Berechnung Nährstoffe und Lager'!$AX119)</f>
        <v>0</v>
      </c>
      <c r="BJ119" s="585">
        <f t="shared" si="140"/>
        <v>0</v>
      </c>
      <c r="BK119" s="585"/>
      <c r="BM119" s="585"/>
      <c r="BN119" s="532">
        <f>INDEX(Pflanzen!$BN$5:$BN$98,'Berechnung Nährstoffe und Lager'!$AX119)</f>
        <v>0</v>
      </c>
      <c r="BO119" s="594">
        <f t="shared" si="114"/>
        <v>0</v>
      </c>
      <c r="BP119" s="585"/>
      <c r="BQ119" s="585"/>
      <c r="BR119" s="585"/>
      <c r="BS119" s="585"/>
      <c r="BT119" s="585"/>
      <c r="BU119" s="585"/>
      <c r="BV119" s="585"/>
      <c r="BW119" s="532"/>
      <c r="BX119" s="532"/>
      <c r="BY119" s="532"/>
      <c r="BZ119" s="532"/>
      <c r="CA119" s="532"/>
      <c r="CB119" s="532"/>
      <c r="CC119" s="532"/>
      <c r="CD119" s="532"/>
      <c r="CE119" s="532"/>
      <c r="CF119" s="532"/>
      <c r="CG119" s="532"/>
      <c r="CH119" s="532"/>
      <c r="CI119" s="560"/>
      <c r="CJ119" s="560"/>
      <c r="CK119" s="560"/>
      <c r="CL119" s="590"/>
      <c r="CM119" s="532"/>
      <c r="CN119" s="532"/>
      <c r="CO119" s="532"/>
      <c r="CP119" s="566"/>
      <c r="CQ119" s="566"/>
      <c r="CR119" s="566"/>
      <c r="CS119" s="566"/>
      <c r="CT119" s="566"/>
      <c r="CU119" s="532"/>
      <c r="CV119" s="532"/>
      <c r="CW119" s="532"/>
      <c r="CX119" s="532"/>
      <c r="CY119" s="532"/>
      <c r="CZ119" s="532"/>
      <c r="DA119" s="532"/>
      <c r="DB119" s="532"/>
      <c r="DC119" s="532"/>
      <c r="DD119" s="532"/>
      <c r="DE119" s="532"/>
      <c r="DF119" s="532"/>
      <c r="DG119" s="532"/>
      <c r="DH119" s="532"/>
      <c r="DI119" s="532"/>
      <c r="DJ119" s="532"/>
      <c r="DK119" s="532"/>
      <c r="DL119" s="560"/>
      <c r="DM119" s="560"/>
      <c r="DN119" s="560"/>
      <c r="DO119" s="560"/>
      <c r="DP119" s="560"/>
      <c r="DQ119" s="560"/>
      <c r="DR119" s="560"/>
      <c r="DS119" s="560"/>
      <c r="DT119" s="560"/>
      <c r="DU119" s="560"/>
      <c r="DV119" s="560"/>
      <c r="DW119" s="560"/>
      <c r="DX119" s="560"/>
      <c r="DY119" s="560"/>
      <c r="DZ119" s="560"/>
      <c r="EA119" s="560"/>
      <c r="EB119" s="560"/>
      <c r="EC119" s="560"/>
      <c r="ED119" s="585"/>
      <c r="EE119" s="585"/>
      <c r="EF119" s="532"/>
      <c r="EG119" s="532"/>
      <c r="EH119" s="532"/>
      <c r="EI119" s="532"/>
      <c r="EJ119" s="532"/>
      <c r="EK119" s="532"/>
      <c r="EL119" s="20"/>
      <c r="EM119" s="20"/>
      <c r="EN119" s="19"/>
      <c r="EO119" s="19"/>
      <c r="EP119" s="20"/>
      <c r="EQ119" s="20"/>
      <c r="ER119" s="20"/>
      <c r="ES119" s="20"/>
      <c r="ET119" s="20"/>
      <c r="EU119" s="20"/>
    </row>
    <row r="120" spans="1:151" ht="15.75" customHeight="1" x14ac:dyDescent="0.25">
      <c r="A120" s="1192"/>
      <c r="B120" s="1186"/>
      <c r="C120" s="1232"/>
      <c r="D120" s="1229"/>
      <c r="E120" s="1203"/>
      <c r="F120" s="1187">
        <f t="shared" si="102"/>
        <v>0</v>
      </c>
      <c r="G120" s="1188">
        <f t="shared" si="103"/>
        <v>0</v>
      </c>
      <c r="H120" s="1189">
        <f t="shared" si="104"/>
        <v>0</v>
      </c>
      <c r="I120" s="1188">
        <f t="shared" si="105"/>
        <v>0</v>
      </c>
      <c r="J120" s="1189">
        <f t="shared" si="106"/>
        <v>0</v>
      </c>
      <c r="K120" s="1965">
        <f t="shared" si="107"/>
        <v>0</v>
      </c>
      <c r="L120" s="1965"/>
      <c r="M120" s="1193">
        <f t="shared" si="108"/>
        <v>0</v>
      </c>
      <c r="N120" s="676"/>
      <c r="Q120" s="672">
        <f t="shared" si="115"/>
        <v>0</v>
      </c>
      <c r="R120" s="674">
        <f t="shared" si="116"/>
        <v>0</v>
      </c>
      <c r="S120" s="673">
        <f t="shared" si="117"/>
        <v>0</v>
      </c>
      <c r="T120" s="673">
        <f t="shared" si="118"/>
        <v>0</v>
      </c>
      <c r="U120" s="674">
        <f t="shared" si="119"/>
        <v>0</v>
      </c>
      <c r="V120" s="674">
        <f t="shared" si="120"/>
        <v>0</v>
      </c>
      <c r="W120" s="675">
        <f t="shared" si="121"/>
        <v>0</v>
      </c>
      <c r="X120" s="678"/>
      <c r="Y120" s="678">
        <f t="shared" si="122"/>
        <v>0</v>
      </c>
      <c r="Z120" s="676">
        <f t="shared" si="123"/>
        <v>0</v>
      </c>
      <c r="AA120" s="676">
        <f t="shared" si="124"/>
        <v>0</v>
      </c>
      <c r="AB120" s="678">
        <f t="shared" si="125"/>
        <v>0</v>
      </c>
      <c r="AC120" s="678">
        <f t="shared" si="126"/>
        <v>0</v>
      </c>
      <c r="AD120" s="521">
        <f t="shared" si="127"/>
        <v>0</v>
      </c>
      <c r="AE120" s="521">
        <f t="shared" si="128"/>
        <v>0</v>
      </c>
      <c r="AF120" s="678">
        <f t="shared" si="129"/>
        <v>0</v>
      </c>
      <c r="AG120" s="678">
        <f t="shared" si="130"/>
        <v>0</v>
      </c>
      <c r="AH120" s="678" t="e">
        <f t="shared" si="131"/>
        <v>#DIV/0!</v>
      </c>
      <c r="AJ120" s="678"/>
      <c r="AK120" s="678"/>
      <c r="AL120" s="678">
        <f t="shared" si="109"/>
        <v>0</v>
      </c>
      <c r="AM120" s="678">
        <f t="shared" si="110"/>
        <v>0</v>
      </c>
      <c r="AN120" s="678">
        <f t="shared" si="111"/>
        <v>0</v>
      </c>
      <c r="AO120" s="678">
        <f t="shared" si="112"/>
        <v>0</v>
      </c>
      <c r="AP120" s="678">
        <f t="shared" si="113"/>
        <v>0</v>
      </c>
      <c r="AQ120" s="678">
        <f t="shared" si="132"/>
        <v>0</v>
      </c>
      <c r="AR120" s="678">
        <f t="shared" si="133"/>
        <v>0</v>
      </c>
      <c r="AS120" s="678">
        <f t="shared" si="134"/>
        <v>0</v>
      </c>
      <c r="AT120" s="678">
        <f t="shared" si="135"/>
        <v>0</v>
      </c>
      <c r="AU120" s="678">
        <f t="shared" si="136"/>
        <v>0</v>
      </c>
      <c r="AV120" s="1334" t="b">
        <v>1</v>
      </c>
      <c r="AW120" s="1113">
        <f>INDEX(Pflanzen!$BM$5:$BM$98,'Berechnung Nährstoffe und Lager'!$AX120)</f>
        <v>0</v>
      </c>
      <c r="AX120" s="532">
        <v>1</v>
      </c>
      <c r="AY120" s="532">
        <f>INDEX(Pflanzen!$K$5:$K$98,'Berechnung Nährstoffe und Lager'!$AX120)</f>
        <v>0</v>
      </c>
      <c r="AZ120" s="532">
        <f>INDEX(Pflanzen!$L$5:$L$98,'Berechnung Nährstoffe und Lager'!$AX120)</f>
        <v>0</v>
      </c>
      <c r="BA120" s="532">
        <f>INDEX(Pflanzen!$M$5:$M$98,'Berechnung Nährstoffe und Lager'!$AX120)</f>
        <v>0</v>
      </c>
      <c r="BB120" s="532">
        <f>INDEX(Pflanzen!$O$5:$O$98,'Berechnung Nährstoffe und Lager'!$AX120)</f>
        <v>0</v>
      </c>
      <c r="BC120" s="532">
        <f>INDEX(Pflanzen!$AV$5:$AV$98,'Berechnung Nährstoffe und Lager'!$AX120)</f>
        <v>0</v>
      </c>
      <c r="BD120" s="532">
        <f>INDEX(Pflanzen!$BA$5:$BA$98,'Berechnung Nährstoffe und Lager'!$AX120)</f>
        <v>0</v>
      </c>
      <c r="BE120" s="532">
        <f>INDEX(Pflanzen!$BC$5:$BC$98,'Berechnung Nährstoffe und Lager'!$AX120)</f>
        <v>0</v>
      </c>
      <c r="BF120" s="585">
        <f t="shared" si="137"/>
        <v>0</v>
      </c>
      <c r="BG120" s="590">
        <f t="shared" si="138"/>
        <v>0</v>
      </c>
      <c r="BH120" s="590">
        <f t="shared" si="139"/>
        <v>0</v>
      </c>
      <c r="BI120" s="532">
        <f>INDEX(Pflanzen!$BL$5:$BL105,'Berechnung Nährstoffe und Lager'!$AX120)</f>
        <v>0</v>
      </c>
      <c r="BJ120" s="585">
        <f t="shared" si="140"/>
        <v>0</v>
      </c>
      <c r="BK120" s="585"/>
      <c r="BM120" s="585"/>
      <c r="BN120" s="532">
        <f>INDEX(Pflanzen!$BN$5:$BN$98,'Berechnung Nährstoffe und Lager'!$AX120)</f>
        <v>0</v>
      </c>
      <c r="BO120" s="594">
        <f t="shared" si="114"/>
        <v>0</v>
      </c>
      <c r="BP120" s="585"/>
      <c r="BQ120" s="585"/>
      <c r="BR120" s="585"/>
      <c r="BS120" s="585"/>
      <c r="BT120" s="585"/>
      <c r="BU120" s="585"/>
      <c r="BV120" s="585"/>
      <c r="BW120" s="532"/>
      <c r="BX120" s="532"/>
      <c r="BY120" s="532"/>
      <c r="BZ120" s="532"/>
      <c r="CA120" s="532"/>
      <c r="CB120" s="532"/>
      <c r="CC120" s="532"/>
      <c r="CD120" s="532"/>
      <c r="CE120" s="532"/>
      <c r="CF120" s="532"/>
      <c r="CG120" s="532"/>
      <c r="CH120" s="532"/>
      <c r="CI120" s="560"/>
      <c r="CJ120" s="560"/>
      <c r="CK120" s="560"/>
      <c r="CL120" s="590"/>
      <c r="CM120" s="532"/>
      <c r="CN120" s="532"/>
      <c r="CO120" s="532"/>
      <c r="CP120" s="566"/>
      <c r="CQ120" s="566"/>
      <c r="CR120" s="566"/>
      <c r="CS120" s="566"/>
      <c r="CT120" s="566"/>
      <c r="CU120" s="532"/>
      <c r="CV120" s="532"/>
      <c r="CW120" s="532"/>
      <c r="CX120" s="532"/>
      <c r="CY120" s="532"/>
      <c r="CZ120" s="532"/>
      <c r="DA120" s="532"/>
      <c r="DB120" s="532"/>
      <c r="DC120" s="532"/>
      <c r="DD120" s="532"/>
      <c r="DE120" s="532"/>
      <c r="DF120" s="532"/>
      <c r="DG120" s="532"/>
      <c r="DH120" s="532"/>
      <c r="DI120" s="532"/>
      <c r="DJ120" s="532"/>
      <c r="DK120" s="532"/>
      <c r="DL120" s="560"/>
      <c r="DM120" s="560"/>
      <c r="DN120" s="560"/>
      <c r="DO120" s="560"/>
      <c r="DP120" s="560"/>
      <c r="DQ120" s="560"/>
      <c r="DR120" s="560"/>
      <c r="DS120" s="560"/>
      <c r="DT120" s="560"/>
      <c r="DU120" s="560"/>
      <c r="DV120" s="560"/>
      <c r="DW120" s="560"/>
      <c r="DX120" s="560"/>
      <c r="DY120" s="560"/>
      <c r="DZ120" s="560"/>
      <c r="EA120" s="560"/>
      <c r="EB120" s="560"/>
      <c r="EC120" s="560"/>
      <c r="ED120" s="585"/>
      <c r="EE120" s="585"/>
      <c r="EF120" s="532"/>
      <c r="EG120" s="532"/>
      <c r="EH120" s="532"/>
      <c r="EI120" s="532"/>
      <c r="EJ120" s="532"/>
      <c r="EK120" s="532"/>
      <c r="EL120" s="20"/>
      <c r="EM120" s="20"/>
      <c r="EN120" s="19"/>
      <c r="EO120" s="19"/>
      <c r="EP120" s="20"/>
      <c r="EQ120" s="20"/>
      <c r="ER120" s="20"/>
      <c r="ES120" s="20"/>
      <c r="ET120" s="20"/>
      <c r="EU120" s="20"/>
    </row>
    <row r="121" spans="1:151" ht="15.75" customHeight="1" x14ac:dyDescent="0.25">
      <c r="A121" s="1192"/>
      <c r="B121" s="1186"/>
      <c r="C121" s="1232"/>
      <c r="D121" s="1229"/>
      <c r="E121" s="1203"/>
      <c r="F121" s="1187">
        <f t="shared" si="102"/>
        <v>0</v>
      </c>
      <c r="G121" s="1188">
        <f t="shared" si="103"/>
        <v>0</v>
      </c>
      <c r="H121" s="1189">
        <f t="shared" si="104"/>
        <v>0</v>
      </c>
      <c r="I121" s="1188">
        <f t="shared" si="105"/>
        <v>0</v>
      </c>
      <c r="J121" s="1189">
        <f t="shared" si="106"/>
        <v>0</v>
      </c>
      <c r="K121" s="1965">
        <f t="shared" si="107"/>
        <v>0</v>
      </c>
      <c r="L121" s="1965"/>
      <c r="M121" s="1193">
        <f t="shared" si="108"/>
        <v>0</v>
      </c>
      <c r="N121" s="676"/>
      <c r="Q121" s="672">
        <f t="shared" si="115"/>
        <v>0</v>
      </c>
      <c r="R121" s="674">
        <f t="shared" si="116"/>
        <v>0</v>
      </c>
      <c r="S121" s="673">
        <f t="shared" si="117"/>
        <v>0</v>
      </c>
      <c r="T121" s="673">
        <f t="shared" si="118"/>
        <v>0</v>
      </c>
      <c r="U121" s="674">
        <f t="shared" si="119"/>
        <v>0</v>
      </c>
      <c r="V121" s="674">
        <f t="shared" si="120"/>
        <v>0</v>
      </c>
      <c r="W121" s="675">
        <f t="shared" si="121"/>
        <v>0</v>
      </c>
      <c r="X121" s="678"/>
      <c r="Y121" s="678">
        <f t="shared" si="122"/>
        <v>0</v>
      </c>
      <c r="Z121" s="676">
        <f t="shared" si="123"/>
        <v>0</v>
      </c>
      <c r="AA121" s="676">
        <f t="shared" si="124"/>
        <v>0</v>
      </c>
      <c r="AB121" s="678">
        <f t="shared" si="125"/>
        <v>0</v>
      </c>
      <c r="AC121" s="678">
        <f t="shared" si="126"/>
        <v>0</v>
      </c>
      <c r="AD121" s="521">
        <f t="shared" si="127"/>
        <v>0</v>
      </c>
      <c r="AE121" s="521">
        <f t="shared" si="128"/>
        <v>0</v>
      </c>
      <c r="AF121" s="678">
        <f t="shared" si="129"/>
        <v>0</v>
      </c>
      <c r="AG121" s="678">
        <f t="shared" si="130"/>
        <v>0</v>
      </c>
      <c r="AH121" s="678" t="e">
        <f t="shared" si="131"/>
        <v>#DIV/0!</v>
      </c>
      <c r="AJ121" s="678"/>
      <c r="AK121" s="678"/>
      <c r="AL121" s="678">
        <f t="shared" si="109"/>
        <v>0</v>
      </c>
      <c r="AM121" s="678">
        <f t="shared" si="110"/>
        <v>0</v>
      </c>
      <c r="AN121" s="678">
        <f t="shared" si="111"/>
        <v>0</v>
      </c>
      <c r="AO121" s="678">
        <f t="shared" si="112"/>
        <v>0</v>
      </c>
      <c r="AP121" s="678">
        <f t="shared" si="113"/>
        <v>0</v>
      </c>
      <c r="AQ121" s="678">
        <f t="shared" si="132"/>
        <v>0</v>
      </c>
      <c r="AR121" s="678">
        <f t="shared" si="133"/>
        <v>0</v>
      </c>
      <c r="AS121" s="678">
        <f t="shared" si="134"/>
        <v>0</v>
      </c>
      <c r="AT121" s="678">
        <f t="shared" si="135"/>
        <v>0</v>
      </c>
      <c r="AU121" s="678">
        <f t="shared" si="136"/>
        <v>0</v>
      </c>
      <c r="AV121" s="1334" t="b">
        <v>1</v>
      </c>
      <c r="AW121" s="1113">
        <f>INDEX(Pflanzen!$BM$5:$BM$98,'Berechnung Nährstoffe und Lager'!$AX121)</f>
        <v>0</v>
      </c>
      <c r="AX121" s="532">
        <v>1</v>
      </c>
      <c r="AY121" s="532">
        <f>INDEX(Pflanzen!$K$5:$K$98,'Berechnung Nährstoffe und Lager'!$AX121)</f>
        <v>0</v>
      </c>
      <c r="AZ121" s="532">
        <f>INDEX(Pflanzen!$L$5:$L$98,'Berechnung Nährstoffe und Lager'!$AX121)</f>
        <v>0</v>
      </c>
      <c r="BA121" s="532">
        <f>INDEX(Pflanzen!$M$5:$M$98,'Berechnung Nährstoffe und Lager'!$AX121)</f>
        <v>0</v>
      </c>
      <c r="BB121" s="532">
        <f>INDEX(Pflanzen!$O$5:$O$98,'Berechnung Nährstoffe und Lager'!$AX121)</f>
        <v>0</v>
      </c>
      <c r="BC121" s="532">
        <f>INDEX(Pflanzen!$AV$5:$AV$98,'Berechnung Nährstoffe und Lager'!$AX121)</f>
        <v>0</v>
      </c>
      <c r="BD121" s="532">
        <f>INDEX(Pflanzen!$BA$5:$BA$98,'Berechnung Nährstoffe und Lager'!$AX121)</f>
        <v>0</v>
      </c>
      <c r="BE121" s="532">
        <f>INDEX(Pflanzen!$BC$5:$BC$98,'Berechnung Nährstoffe und Lager'!$AX121)</f>
        <v>0</v>
      </c>
      <c r="BF121" s="585">
        <f t="shared" si="137"/>
        <v>0</v>
      </c>
      <c r="BG121" s="590">
        <f t="shared" si="138"/>
        <v>0</v>
      </c>
      <c r="BH121" s="590">
        <f t="shared" si="139"/>
        <v>0</v>
      </c>
      <c r="BI121" s="532">
        <f>INDEX(Pflanzen!$BL$5:$BL106,'Berechnung Nährstoffe und Lager'!$AX121)</f>
        <v>0</v>
      </c>
      <c r="BJ121" s="585">
        <f t="shared" si="140"/>
        <v>0</v>
      </c>
      <c r="BK121" s="585"/>
      <c r="BM121" s="585"/>
      <c r="BN121" s="532">
        <f>INDEX(Pflanzen!$BN$5:$BN$98,'Berechnung Nährstoffe und Lager'!$AX121)</f>
        <v>0</v>
      </c>
      <c r="BO121" s="594">
        <f t="shared" si="114"/>
        <v>0</v>
      </c>
      <c r="BP121" s="585"/>
      <c r="BQ121" s="585"/>
      <c r="BR121" s="585"/>
      <c r="BS121" s="585"/>
      <c r="BT121" s="585"/>
      <c r="BU121" s="585"/>
      <c r="BV121" s="585"/>
      <c r="BW121" s="532"/>
      <c r="BX121" s="532"/>
      <c r="BY121" s="532"/>
      <c r="BZ121" s="532"/>
      <c r="CA121" s="532"/>
      <c r="CB121" s="532"/>
      <c r="CC121" s="532"/>
      <c r="CD121" s="532"/>
      <c r="CE121" s="532"/>
      <c r="CF121" s="532"/>
      <c r="CG121" s="532"/>
      <c r="CH121" s="532"/>
      <c r="CI121" s="560"/>
      <c r="CJ121" s="560"/>
      <c r="CK121" s="560"/>
      <c r="CL121" s="590"/>
      <c r="CM121" s="532"/>
      <c r="CN121" s="532"/>
      <c r="CO121" s="532"/>
      <c r="CP121" s="566"/>
      <c r="CQ121" s="566"/>
      <c r="CR121" s="566"/>
      <c r="CS121" s="566"/>
      <c r="CT121" s="566"/>
      <c r="CU121" s="532"/>
      <c r="CV121" s="532"/>
      <c r="CW121" s="532"/>
      <c r="CX121" s="532"/>
      <c r="CY121" s="532"/>
      <c r="CZ121" s="532"/>
      <c r="DA121" s="532"/>
      <c r="DB121" s="532"/>
      <c r="DC121" s="532"/>
      <c r="DD121" s="532"/>
      <c r="DE121" s="532"/>
      <c r="DF121" s="532"/>
      <c r="DG121" s="532"/>
      <c r="DH121" s="532"/>
      <c r="DI121" s="532"/>
      <c r="DJ121" s="532"/>
      <c r="DK121" s="532"/>
      <c r="DL121" s="560"/>
      <c r="DM121" s="560"/>
      <c r="DN121" s="560"/>
      <c r="DO121" s="560"/>
      <c r="DP121" s="560"/>
      <c r="DQ121" s="560"/>
      <c r="DR121" s="560"/>
      <c r="DS121" s="560"/>
      <c r="DT121" s="560"/>
      <c r="DU121" s="560"/>
      <c r="DV121" s="560"/>
      <c r="DW121" s="560"/>
      <c r="DX121" s="560"/>
      <c r="DY121" s="560"/>
      <c r="DZ121" s="560"/>
      <c r="EA121" s="560"/>
      <c r="EB121" s="560"/>
      <c r="EC121" s="560"/>
      <c r="ED121" s="585"/>
      <c r="EE121" s="585"/>
      <c r="EF121" s="532"/>
      <c r="EG121" s="532"/>
      <c r="EH121" s="532"/>
      <c r="EI121" s="532"/>
      <c r="EJ121" s="532"/>
      <c r="EK121" s="532"/>
      <c r="EL121" s="20"/>
      <c r="EM121" s="20"/>
      <c r="EN121" s="19"/>
      <c r="EO121" s="19"/>
      <c r="EP121" s="20"/>
      <c r="EQ121" s="20"/>
      <c r="ER121" s="20"/>
      <c r="ES121" s="20"/>
      <c r="ET121" s="20"/>
      <c r="EU121" s="20"/>
    </row>
    <row r="122" spans="1:151" ht="15.75" customHeight="1" x14ac:dyDescent="0.25">
      <c r="A122" s="1192"/>
      <c r="B122" s="1186"/>
      <c r="C122" s="1232"/>
      <c r="D122" s="1229"/>
      <c r="E122" s="1203"/>
      <c r="F122" s="1187">
        <f t="shared" si="102"/>
        <v>0</v>
      </c>
      <c r="G122" s="1188">
        <f t="shared" si="103"/>
        <v>0</v>
      </c>
      <c r="H122" s="1189">
        <f t="shared" si="104"/>
        <v>0</v>
      </c>
      <c r="I122" s="1188">
        <f t="shared" si="105"/>
        <v>0</v>
      </c>
      <c r="J122" s="1189">
        <f t="shared" si="106"/>
        <v>0</v>
      </c>
      <c r="K122" s="1965">
        <f t="shared" si="107"/>
        <v>0</v>
      </c>
      <c r="L122" s="1965"/>
      <c r="M122" s="1193">
        <f t="shared" si="108"/>
        <v>0</v>
      </c>
      <c r="N122" s="676"/>
      <c r="Q122" s="672">
        <f t="shared" si="115"/>
        <v>0</v>
      </c>
      <c r="R122" s="674">
        <f t="shared" si="116"/>
        <v>0</v>
      </c>
      <c r="S122" s="673">
        <f t="shared" si="117"/>
        <v>0</v>
      </c>
      <c r="T122" s="673">
        <f t="shared" si="118"/>
        <v>0</v>
      </c>
      <c r="U122" s="674">
        <f t="shared" si="119"/>
        <v>0</v>
      </c>
      <c r="V122" s="674">
        <f t="shared" si="120"/>
        <v>0</v>
      </c>
      <c r="W122" s="675">
        <f t="shared" si="121"/>
        <v>0</v>
      </c>
      <c r="X122" s="678"/>
      <c r="Y122" s="678">
        <f t="shared" si="122"/>
        <v>0</v>
      </c>
      <c r="Z122" s="676">
        <f t="shared" si="123"/>
        <v>0</v>
      </c>
      <c r="AA122" s="676">
        <f t="shared" si="124"/>
        <v>0</v>
      </c>
      <c r="AB122" s="678">
        <f t="shared" si="125"/>
        <v>0</v>
      </c>
      <c r="AC122" s="678">
        <f t="shared" si="126"/>
        <v>0</v>
      </c>
      <c r="AD122" s="521">
        <f t="shared" si="127"/>
        <v>0</v>
      </c>
      <c r="AE122" s="521">
        <f t="shared" si="128"/>
        <v>0</v>
      </c>
      <c r="AF122" s="678">
        <f t="shared" si="129"/>
        <v>0</v>
      </c>
      <c r="AG122" s="678">
        <f t="shared" si="130"/>
        <v>0</v>
      </c>
      <c r="AH122" s="678" t="e">
        <f t="shared" si="131"/>
        <v>#DIV/0!</v>
      </c>
      <c r="AJ122" s="678"/>
      <c r="AK122" s="678"/>
      <c r="AL122" s="678">
        <f t="shared" si="109"/>
        <v>0</v>
      </c>
      <c r="AM122" s="678">
        <f t="shared" si="110"/>
        <v>0</v>
      </c>
      <c r="AN122" s="678">
        <f t="shared" si="111"/>
        <v>0</v>
      </c>
      <c r="AO122" s="678">
        <f t="shared" si="112"/>
        <v>0</v>
      </c>
      <c r="AP122" s="678">
        <f t="shared" si="113"/>
        <v>0</v>
      </c>
      <c r="AQ122" s="678">
        <f t="shared" si="132"/>
        <v>0</v>
      </c>
      <c r="AR122" s="678">
        <f t="shared" si="133"/>
        <v>0</v>
      </c>
      <c r="AS122" s="678">
        <f t="shared" si="134"/>
        <v>0</v>
      </c>
      <c r="AT122" s="678">
        <f t="shared" si="135"/>
        <v>0</v>
      </c>
      <c r="AU122" s="678">
        <f t="shared" si="136"/>
        <v>0</v>
      </c>
      <c r="AV122" s="1334" t="b">
        <v>1</v>
      </c>
      <c r="AW122" s="1113">
        <f>INDEX(Pflanzen!$BM$5:$BM$98,'Berechnung Nährstoffe und Lager'!$AX122)</f>
        <v>0</v>
      </c>
      <c r="AX122" s="532">
        <v>1</v>
      </c>
      <c r="AY122" s="532">
        <f>INDEX(Pflanzen!$K$5:$K$98,'Berechnung Nährstoffe und Lager'!$AX122)</f>
        <v>0</v>
      </c>
      <c r="AZ122" s="532">
        <f>INDEX(Pflanzen!$L$5:$L$98,'Berechnung Nährstoffe und Lager'!$AX122)</f>
        <v>0</v>
      </c>
      <c r="BA122" s="532">
        <f>INDEX(Pflanzen!$M$5:$M$98,'Berechnung Nährstoffe und Lager'!$AX122)</f>
        <v>0</v>
      </c>
      <c r="BB122" s="532">
        <f>INDEX(Pflanzen!$O$5:$O$98,'Berechnung Nährstoffe und Lager'!$AX122)</f>
        <v>0</v>
      </c>
      <c r="BC122" s="532">
        <f>INDEX(Pflanzen!$AV$5:$AV$98,'Berechnung Nährstoffe und Lager'!$AX122)</f>
        <v>0</v>
      </c>
      <c r="BD122" s="532">
        <f>INDEX(Pflanzen!$BA$5:$BA$98,'Berechnung Nährstoffe und Lager'!$AX122)</f>
        <v>0</v>
      </c>
      <c r="BE122" s="532">
        <f>INDEX(Pflanzen!$BC$5:$BC$98,'Berechnung Nährstoffe und Lager'!$AX122)</f>
        <v>0</v>
      </c>
      <c r="BF122" s="585">
        <f t="shared" si="137"/>
        <v>0</v>
      </c>
      <c r="BG122" s="590">
        <f t="shared" si="138"/>
        <v>0</v>
      </c>
      <c r="BH122" s="590">
        <f t="shared" si="139"/>
        <v>0</v>
      </c>
      <c r="BI122" s="532">
        <f>INDEX(Pflanzen!$BL$5:$BL107,'Berechnung Nährstoffe und Lager'!$AX122)</f>
        <v>0</v>
      </c>
      <c r="BJ122" s="585">
        <f t="shared" si="140"/>
        <v>0</v>
      </c>
      <c r="BK122" s="585"/>
      <c r="BM122" s="585"/>
      <c r="BN122" s="532">
        <f>INDEX(Pflanzen!$BN$5:$BN$98,'Berechnung Nährstoffe und Lager'!$AX122)</f>
        <v>0</v>
      </c>
      <c r="BO122" s="594">
        <f t="shared" si="114"/>
        <v>0</v>
      </c>
      <c r="BP122" s="585"/>
      <c r="BQ122" s="585"/>
      <c r="BR122" s="585"/>
      <c r="BS122" s="585"/>
      <c r="BT122" s="585"/>
      <c r="BU122" s="585"/>
      <c r="BV122" s="585"/>
      <c r="BW122" s="532"/>
      <c r="BX122" s="532"/>
      <c r="BY122" s="532"/>
      <c r="BZ122" s="532"/>
      <c r="CA122" s="532"/>
      <c r="CB122" s="532"/>
      <c r="CC122" s="532"/>
      <c r="CD122" s="532"/>
      <c r="CE122" s="532"/>
      <c r="CF122" s="532"/>
      <c r="CG122" s="532"/>
      <c r="CH122" s="532"/>
      <c r="CI122" s="560"/>
      <c r="CJ122" s="560"/>
      <c r="CK122" s="560"/>
      <c r="CL122" s="590"/>
      <c r="CM122" s="532"/>
      <c r="CN122" s="532"/>
      <c r="CO122" s="532"/>
      <c r="CP122" s="566"/>
      <c r="CQ122" s="566"/>
      <c r="CR122" s="566"/>
      <c r="CS122" s="566"/>
      <c r="CT122" s="566"/>
      <c r="CU122" s="532"/>
      <c r="CV122" s="532"/>
      <c r="CW122" s="532"/>
      <c r="CX122" s="532"/>
      <c r="CY122" s="532"/>
      <c r="CZ122" s="532"/>
      <c r="DA122" s="532"/>
      <c r="DB122" s="532"/>
      <c r="DC122" s="532"/>
      <c r="DD122" s="532"/>
      <c r="DE122" s="532"/>
      <c r="DF122" s="532"/>
      <c r="DG122" s="532"/>
      <c r="DH122" s="532"/>
      <c r="DI122" s="532"/>
      <c r="DJ122" s="532"/>
      <c r="DK122" s="532"/>
      <c r="DL122" s="560"/>
      <c r="DM122" s="560"/>
      <c r="DN122" s="560"/>
      <c r="DO122" s="560"/>
      <c r="DP122" s="560"/>
      <c r="DQ122" s="560"/>
      <c r="DR122" s="560"/>
      <c r="DS122" s="560"/>
      <c r="DT122" s="560"/>
      <c r="DU122" s="560"/>
      <c r="DV122" s="560"/>
      <c r="DW122" s="560"/>
      <c r="DX122" s="560"/>
      <c r="DY122" s="560"/>
      <c r="DZ122" s="560"/>
      <c r="EA122" s="560"/>
      <c r="EB122" s="560"/>
      <c r="EC122" s="560"/>
      <c r="ED122" s="585"/>
      <c r="EE122" s="585"/>
      <c r="EF122" s="532"/>
      <c r="EG122" s="532"/>
      <c r="EH122" s="532"/>
      <c r="EI122" s="532"/>
      <c r="EJ122" s="532"/>
      <c r="EK122" s="532"/>
      <c r="EL122" s="20"/>
      <c r="EM122" s="20"/>
      <c r="EN122" s="19"/>
      <c r="EO122" s="19"/>
      <c r="EP122" s="20"/>
      <c r="EQ122" s="20"/>
      <c r="ER122" s="20"/>
      <c r="ES122" s="20"/>
      <c r="ET122" s="20"/>
      <c r="EU122" s="20"/>
    </row>
    <row r="123" spans="1:151" ht="15.75" customHeight="1" x14ac:dyDescent="0.25">
      <c r="A123" s="1192"/>
      <c r="B123" s="1186"/>
      <c r="C123" s="1232"/>
      <c r="D123" s="1229"/>
      <c r="E123" s="1203"/>
      <c r="F123" s="1187">
        <f t="shared" si="102"/>
        <v>0</v>
      </c>
      <c r="G123" s="1188">
        <f t="shared" si="103"/>
        <v>0</v>
      </c>
      <c r="H123" s="1189">
        <f t="shared" si="104"/>
        <v>0</v>
      </c>
      <c r="I123" s="1188">
        <f t="shared" si="105"/>
        <v>0</v>
      </c>
      <c r="J123" s="1189">
        <f t="shared" si="106"/>
        <v>0</v>
      </c>
      <c r="K123" s="1965">
        <f t="shared" si="107"/>
        <v>0</v>
      </c>
      <c r="L123" s="1965"/>
      <c r="M123" s="1193">
        <f t="shared" si="108"/>
        <v>0</v>
      </c>
      <c r="N123" s="676"/>
      <c r="Q123" s="672">
        <f t="shared" si="115"/>
        <v>0</v>
      </c>
      <c r="R123" s="674">
        <f t="shared" si="116"/>
        <v>0</v>
      </c>
      <c r="S123" s="673">
        <f t="shared" si="117"/>
        <v>0</v>
      </c>
      <c r="T123" s="673">
        <f t="shared" si="118"/>
        <v>0</v>
      </c>
      <c r="U123" s="674">
        <f t="shared" si="119"/>
        <v>0</v>
      </c>
      <c r="V123" s="674">
        <f t="shared" si="120"/>
        <v>0</v>
      </c>
      <c r="W123" s="675">
        <f t="shared" si="121"/>
        <v>0</v>
      </c>
      <c r="X123" s="678"/>
      <c r="Y123" s="678">
        <f t="shared" si="122"/>
        <v>0</v>
      </c>
      <c r="Z123" s="676">
        <f t="shared" si="123"/>
        <v>0</v>
      </c>
      <c r="AA123" s="676">
        <f t="shared" si="124"/>
        <v>0</v>
      </c>
      <c r="AB123" s="678">
        <f t="shared" si="125"/>
        <v>0</v>
      </c>
      <c r="AC123" s="678">
        <f t="shared" si="126"/>
        <v>0</v>
      </c>
      <c r="AD123" s="521">
        <f t="shared" si="127"/>
        <v>0</v>
      </c>
      <c r="AE123" s="521">
        <f t="shared" si="128"/>
        <v>0</v>
      </c>
      <c r="AF123" s="678">
        <f t="shared" si="129"/>
        <v>0</v>
      </c>
      <c r="AG123" s="678">
        <f t="shared" si="130"/>
        <v>0</v>
      </c>
      <c r="AH123" s="678" t="e">
        <f t="shared" si="131"/>
        <v>#DIV/0!</v>
      </c>
      <c r="AJ123" s="678"/>
      <c r="AK123" s="678"/>
      <c r="AL123" s="678">
        <f t="shared" si="109"/>
        <v>0</v>
      </c>
      <c r="AM123" s="678">
        <f t="shared" si="110"/>
        <v>0</v>
      </c>
      <c r="AN123" s="678">
        <f t="shared" si="111"/>
        <v>0</v>
      </c>
      <c r="AO123" s="678">
        <f t="shared" si="112"/>
        <v>0</v>
      </c>
      <c r="AP123" s="678">
        <f t="shared" si="113"/>
        <v>0</v>
      </c>
      <c r="AQ123" s="678">
        <f t="shared" si="132"/>
        <v>0</v>
      </c>
      <c r="AR123" s="678">
        <f t="shared" si="133"/>
        <v>0</v>
      </c>
      <c r="AS123" s="678">
        <f t="shared" si="134"/>
        <v>0</v>
      </c>
      <c r="AT123" s="678">
        <f t="shared" si="135"/>
        <v>0</v>
      </c>
      <c r="AU123" s="678">
        <f t="shared" si="136"/>
        <v>0</v>
      </c>
      <c r="AV123" s="1334" t="b">
        <v>1</v>
      </c>
      <c r="AW123" s="1113">
        <f>INDEX(Pflanzen!$BM$5:$BM$98,'Berechnung Nährstoffe und Lager'!$AX123)</f>
        <v>0</v>
      </c>
      <c r="AX123" s="532">
        <v>1</v>
      </c>
      <c r="AY123" s="532">
        <f>INDEX(Pflanzen!$K$5:$K$98,'Berechnung Nährstoffe und Lager'!$AX123)</f>
        <v>0</v>
      </c>
      <c r="AZ123" s="532">
        <f>INDEX(Pflanzen!$L$5:$L$98,'Berechnung Nährstoffe und Lager'!$AX123)</f>
        <v>0</v>
      </c>
      <c r="BA123" s="532">
        <f>INDEX(Pflanzen!$M$5:$M$98,'Berechnung Nährstoffe und Lager'!$AX123)</f>
        <v>0</v>
      </c>
      <c r="BB123" s="532">
        <f>INDEX(Pflanzen!$O$5:$O$98,'Berechnung Nährstoffe und Lager'!$AX123)</f>
        <v>0</v>
      </c>
      <c r="BC123" s="532">
        <f>INDEX(Pflanzen!$AV$5:$AV$98,'Berechnung Nährstoffe und Lager'!$AX123)</f>
        <v>0</v>
      </c>
      <c r="BD123" s="532">
        <f>INDEX(Pflanzen!$BA$5:$BA$98,'Berechnung Nährstoffe und Lager'!$AX123)</f>
        <v>0</v>
      </c>
      <c r="BE123" s="532">
        <f>INDEX(Pflanzen!$BC$5:$BC$98,'Berechnung Nährstoffe und Lager'!$AX123)</f>
        <v>0</v>
      </c>
      <c r="BF123" s="585">
        <f t="shared" si="137"/>
        <v>0</v>
      </c>
      <c r="BG123" s="590">
        <f t="shared" si="138"/>
        <v>0</v>
      </c>
      <c r="BH123" s="590">
        <f t="shared" si="139"/>
        <v>0</v>
      </c>
      <c r="BI123" s="532">
        <f>INDEX(Pflanzen!$BL$5:$BL108,'Berechnung Nährstoffe und Lager'!$AX123)</f>
        <v>0</v>
      </c>
      <c r="BJ123" s="585">
        <f t="shared" si="140"/>
        <v>0</v>
      </c>
      <c r="BK123" s="585"/>
      <c r="BM123" s="585"/>
      <c r="BN123" s="532">
        <f>INDEX(Pflanzen!$BN$5:$BN$98,'Berechnung Nährstoffe und Lager'!$AX123)</f>
        <v>0</v>
      </c>
      <c r="BO123" s="594">
        <f t="shared" si="114"/>
        <v>0</v>
      </c>
      <c r="BP123" s="585"/>
      <c r="BQ123" s="585"/>
      <c r="BR123" s="585"/>
      <c r="BS123" s="585"/>
      <c r="BT123" s="585"/>
      <c r="BU123" s="585"/>
      <c r="BV123" s="585"/>
      <c r="BW123" s="532"/>
      <c r="BX123" s="532"/>
      <c r="BY123" s="532"/>
      <c r="BZ123" s="532"/>
      <c r="CA123" s="532"/>
      <c r="CB123" s="532"/>
      <c r="CC123" s="532"/>
      <c r="CD123" s="532"/>
      <c r="CE123" s="532"/>
      <c r="CF123" s="532"/>
      <c r="CG123" s="532"/>
      <c r="CH123" s="532"/>
      <c r="CI123" s="560"/>
      <c r="CJ123" s="560"/>
      <c r="CK123" s="560"/>
      <c r="CL123" s="590"/>
      <c r="CM123" s="532"/>
      <c r="CN123" s="532"/>
      <c r="CO123" s="532"/>
      <c r="CP123" s="566"/>
      <c r="CQ123" s="566"/>
      <c r="CR123" s="566"/>
      <c r="CS123" s="566"/>
      <c r="CT123" s="566"/>
      <c r="CU123" s="532"/>
      <c r="CV123" s="532"/>
      <c r="CW123" s="532"/>
      <c r="CX123" s="532"/>
      <c r="CY123" s="532"/>
      <c r="CZ123" s="532"/>
      <c r="DA123" s="532"/>
      <c r="DB123" s="532"/>
      <c r="DC123" s="532"/>
      <c r="DD123" s="532"/>
      <c r="DE123" s="532"/>
      <c r="DF123" s="532"/>
      <c r="DG123" s="532"/>
      <c r="DH123" s="532"/>
      <c r="DI123" s="532"/>
      <c r="DJ123" s="532"/>
      <c r="DK123" s="532"/>
      <c r="DL123" s="560"/>
      <c r="DM123" s="560"/>
      <c r="DN123" s="560"/>
      <c r="DO123" s="560"/>
      <c r="DP123" s="560"/>
      <c r="DQ123" s="560"/>
      <c r="DR123" s="560"/>
      <c r="DS123" s="560"/>
      <c r="DT123" s="560"/>
      <c r="DU123" s="560"/>
      <c r="DV123" s="560"/>
      <c r="DW123" s="560"/>
      <c r="DX123" s="560"/>
      <c r="DY123" s="560"/>
      <c r="DZ123" s="560"/>
      <c r="EA123" s="560"/>
      <c r="EB123" s="560"/>
      <c r="EC123" s="560"/>
      <c r="ED123" s="585"/>
      <c r="EE123" s="585"/>
      <c r="EF123" s="532"/>
      <c r="EG123" s="532"/>
      <c r="EH123" s="532"/>
      <c r="EI123" s="532"/>
      <c r="EJ123" s="532"/>
      <c r="EK123" s="532"/>
      <c r="EL123" s="20"/>
      <c r="EM123" s="20"/>
      <c r="EN123" s="19"/>
      <c r="EO123" s="19"/>
      <c r="EP123" s="20"/>
      <c r="EQ123" s="20"/>
      <c r="ER123" s="20"/>
      <c r="ES123" s="20"/>
      <c r="ET123" s="20"/>
      <c r="EU123" s="20"/>
    </row>
    <row r="124" spans="1:151" ht="15.75" customHeight="1" x14ac:dyDescent="0.25">
      <c r="A124" s="1192"/>
      <c r="B124" s="1186"/>
      <c r="C124" s="1232"/>
      <c r="D124" s="1229"/>
      <c r="E124" s="1203"/>
      <c r="F124" s="1187">
        <f t="shared" si="102"/>
        <v>0</v>
      </c>
      <c r="G124" s="1188">
        <f t="shared" si="103"/>
        <v>0</v>
      </c>
      <c r="H124" s="1189">
        <f t="shared" si="104"/>
        <v>0</v>
      </c>
      <c r="I124" s="1188">
        <f t="shared" si="105"/>
        <v>0</v>
      </c>
      <c r="J124" s="1189">
        <f t="shared" si="106"/>
        <v>0</v>
      </c>
      <c r="K124" s="1965">
        <f t="shared" si="107"/>
        <v>0</v>
      </c>
      <c r="L124" s="1965"/>
      <c r="M124" s="1193">
        <f t="shared" si="108"/>
        <v>0</v>
      </c>
      <c r="N124" s="676"/>
      <c r="Q124" s="672">
        <f t="shared" si="115"/>
        <v>0</v>
      </c>
      <c r="R124" s="674">
        <f t="shared" si="116"/>
        <v>0</v>
      </c>
      <c r="S124" s="673">
        <f t="shared" si="117"/>
        <v>0</v>
      </c>
      <c r="T124" s="673">
        <f t="shared" si="118"/>
        <v>0</v>
      </c>
      <c r="U124" s="674">
        <f t="shared" si="119"/>
        <v>0</v>
      </c>
      <c r="V124" s="674">
        <f t="shared" si="120"/>
        <v>0</v>
      </c>
      <c r="W124" s="675">
        <f t="shared" si="121"/>
        <v>0</v>
      </c>
      <c r="X124" s="678"/>
      <c r="Y124" s="678">
        <f t="shared" si="122"/>
        <v>0</v>
      </c>
      <c r="Z124" s="676">
        <f t="shared" si="123"/>
        <v>0</v>
      </c>
      <c r="AA124" s="676">
        <f t="shared" si="124"/>
        <v>0</v>
      </c>
      <c r="AB124" s="678">
        <f t="shared" si="125"/>
        <v>0</v>
      </c>
      <c r="AC124" s="678">
        <f t="shared" si="126"/>
        <v>0</v>
      </c>
      <c r="AD124" s="521">
        <f t="shared" si="127"/>
        <v>0</v>
      </c>
      <c r="AE124" s="521">
        <f t="shared" si="128"/>
        <v>0</v>
      </c>
      <c r="AF124" s="678">
        <f t="shared" si="129"/>
        <v>0</v>
      </c>
      <c r="AG124" s="678">
        <f t="shared" si="130"/>
        <v>0</v>
      </c>
      <c r="AH124" s="678" t="e">
        <f t="shared" si="131"/>
        <v>#DIV/0!</v>
      </c>
      <c r="AJ124" s="678"/>
      <c r="AK124" s="678"/>
      <c r="AL124" s="678">
        <f t="shared" si="109"/>
        <v>0</v>
      </c>
      <c r="AM124" s="678">
        <f t="shared" si="110"/>
        <v>0</v>
      </c>
      <c r="AN124" s="678">
        <f t="shared" si="111"/>
        <v>0</v>
      </c>
      <c r="AO124" s="678">
        <f t="shared" si="112"/>
        <v>0</v>
      </c>
      <c r="AP124" s="678">
        <f t="shared" si="113"/>
        <v>0</v>
      </c>
      <c r="AQ124" s="678">
        <f t="shared" si="132"/>
        <v>0</v>
      </c>
      <c r="AR124" s="678">
        <f t="shared" si="133"/>
        <v>0</v>
      </c>
      <c r="AS124" s="678">
        <f t="shared" si="134"/>
        <v>0</v>
      </c>
      <c r="AT124" s="678">
        <f t="shared" si="135"/>
        <v>0</v>
      </c>
      <c r="AU124" s="678">
        <f t="shared" si="136"/>
        <v>0</v>
      </c>
      <c r="AV124" s="1334" t="b">
        <v>1</v>
      </c>
      <c r="AW124" s="1113">
        <f>INDEX(Pflanzen!$BM$5:$BM$98,'Berechnung Nährstoffe und Lager'!$AX124)</f>
        <v>0</v>
      </c>
      <c r="AX124" s="532">
        <v>1</v>
      </c>
      <c r="AY124" s="532">
        <f>INDEX(Pflanzen!$K$5:$K$98,'Berechnung Nährstoffe und Lager'!$AX124)</f>
        <v>0</v>
      </c>
      <c r="AZ124" s="532">
        <f>INDEX(Pflanzen!$L$5:$L$98,'Berechnung Nährstoffe und Lager'!$AX124)</f>
        <v>0</v>
      </c>
      <c r="BA124" s="532">
        <f>INDEX(Pflanzen!$M$5:$M$98,'Berechnung Nährstoffe und Lager'!$AX124)</f>
        <v>0</v>
      </c>
      <c r="BB124" s="532">
        <f>INDEX(Pflanzen!$O$5:$O$98,'Berechnung Nährstoffe und Lager'!$AX124)</f>
        <v>0</v>
      </c>
      <c r="BC124" s="532">
        <f>INDEX(Pflanzen!$AV$5:$AV$98,'Berechnung Nährstoffe und Lager'!$AX124)</f>
        <v>0</v>
      </c>
      <c r="BD124" s="532">
        <f>INDEX(Pflanzen!$BA$5:$BA$98,'Berechnung Nährstoffe und Lager'!$AX124)</f>
        <v>0</v>
      </c>
      <c r="BE124" s="532">
        <f>INDEX(Pflanzen!$BC$5:$BC$98,'Berechnung Nährstoffe und Lager'!$AX124)</f>
        <v>0</v>
      </c>
      <c r="BF124" s="585">
        <f t="shared" si="137"/>
        <v>0</v>
      </c>
      <c r="BG124" s="590">
        <f t="shared" si="138"/>
        <v>0</v>
      </c>
      <c r="BH124" s="590">
        <f t="shared" si="139"/>
        <v>0</v>
      </c>
      <c r="BI124" s="532">
        <f>INDEX(Pflanzen!$BL$5:$BL109,'Berechnung Nährstoffe und Lager'!$AX124)</f>
        <v>0</v>
      </c>
      <c r="BJ124" s="585">
        <f t="shared" si="140"/>
        <v>0</v>
      </c>
      <c r="BK124" s="585"/>
      <c r="BM124" s="585"/>
      <c r="BN124" s="532">
        <f>INDEX(Pflanzen!$BN$5:$BN$98,'Berechnung Nährstoffe und Lager'!$AX124)</f>
        <v>0</v>
      </c>
      <c r="BO124" s="594">
        <f t="shared" si="114"/>
        <v>0</v>
      </c>
      <c r="BP124" s="585"/>
      <c r="BQ124" s="585"/>
      <c r="BR124" s="585"/>
      <c r="BS124" s="585"/>
      <c r="BT124" s="585"/>
      <c r="BU124" s="585"/>
      <c r="BV124" s="585"/>
      <c r="BW124" s="532"/>
      <c r="BX124" s="532"/>
      <c r="BY124" s="532"/>
      <c r="BZ124" s="532"/>
      <c r="CA124" s="532"/>
      <c r="CB124" s="532"/>
      <c r="CC124" s="532"/>
      <c r="CD124" s="532"/>
      <c r="CE124" s="532"/>
      <c r="CF124" s="532"/>
      <c r="CG124" s="532"/>
      <c r="CH124" s="532"/>
      <c r="CI124" s="560"/>
      <c r="CJ124" s="560"/>
      <c r="CK124" s="560"/>
      <c r="CL124" s="590"/>
      <c r="CM124" s="532"/>
      <c r="CN124" s="532"/>
      <c r="CO124" s="532"/>
      <c r="CP124" s="566"/>
      <c r="CQ124" s="566"/>
      <c r="CR124" s="566"/>
      <c r="CS124" s="566"/>
      <c r="CT124" s="566"/>
      <c r="CU124" s="532"/>
      <c r="CV124" s="532"/>
      <c r="CW124" s="532"/>
      <c r="CX124" s="532"/>
      <c r="CY124" s="532"/>
      <c r="CZ124" s="532"/>
      <c r="DA124" s="532"/>
      <c r="DB124" s="532"/>
      <c r="DC124" s="532"/>
      <c r="DD124" s="532"/>
      <c r="DE124" s="532"/>
      <c r="DF124" s="532"/>
      <c r="DG124" s="532"/>
      <c r="DH124" s="532"/>
      <c r="DI124" s="532"/>
      <c r="DJ124" s="532"/>
      <c r="DK124" s="532"/>
      <c r="DL124" s="560"/>
      <c r="DM124" s="560"/>
      <c r="DN124" s="560"/>
      <c r="DO124" s="560"/>
      <c r="DP124" s="560"/>
      <c r="DQ124" s="560"/>
      <c r="DR124" s="560"/>
      <c r="DS124" s="560"/>
      <c r="DT124" s="560"/>
      <c r="DU124" s="560"/>
      <c r="DV124" s="560"/>
      <c r="DW124" s="560"/>
      <c r="DX124" s="560"/>
      <c r="DY124" s="560"/>
      <c r="DZ124" s="560"/>
      <c r="EA124" s="560"/>
      <c r="EB124" s="560"/>
      <c r="EC124" s="560"/>
      <c r="ED124" s="585"/>
      <c r="EE124" s="585"/>
      <c r="EF124" s="532"/>
      <c r="EG124" s="532"/>
      <c r="EH124" s="532"/>
      <c r="EI124" s="532"/>
      <c r="EJ124" s="532"/>
      <c r="EK124" s="532"/>
      <c r="EL124" s="20"/>
      <c r="EM124" s="20"/>
      <c r="EN124" s="19"/>
      <c r="EO124" s="19"/>
      <c r="EP124" s="20"/>
      <c r="EQ124" s="20"/>
      <c r="ER124" s="20"/>
      <c r="ES124" s="20"/>
      <c r="ET124" s="20"/>
      <c r="EU124" s="20"/>
    </row>
    <row r="125" spans="1:151" ht="15.75" customHeight="1" x14ac:dyDescent="0.25">
      <c r="A125" s="1192"/>
      <c r="B125" s="1186"/>
      <c r="C125" s="1232"/>
      <c r="D125" s="1229"/>
      <c r="E125" s="1203"/>
      <c r="F125" s="1187">
        <f t="shared" si="102"/>
        <v>0</v>
      </c>
      <c r="G125" s="1188">
        <f t="shared" si="103"/>
        <v>0</v>
      </c>
      <c r="H125" s="1189">
        <f t="shared" si="104"/>
        <v>0</v>
      </c>
      <c r="I125" s="1188">
        <f t="shared" si="105"/>
        <v>0</v>
      </c>
      <c r="J125" s="1189">
        <f t="shared" si="106"/>
        <v>0</v>
      </c>
      <c r="K125" s="1965">
        <f t="shared" si="107"/>
        <v>0</v>
      </c>
      <c r="L125" s="1965"/>
      <c r="M125" s="1193">
        <f t="shared" si="108"/>
        <v>0</v>
      </c>
      <c r="N125" s="676"/>
      <c r="Q125" s="672">
        <f t="shared" si="115"/>
        <v>0</v>
      </c>
      <c r="R125" s="674">
        <f t="shared" si="116"/>
        <v>0</v>
      </c>
      <c r="S125" s="673">
        <f t="shared" si="117"/>
        <v>0</v>
      </c>
      <c r="T125" s="673">
        <f t="shared" si="118"/>
        <v>0</v>
      </c>
      <c r="U125" s="674">
        <f t="shared" si="119"/>
        <v>0</v>
      </c>
      <c r="V125" s="674">
        <f t="shared" si="120"/>
        <v>0</v>
      </c>
      <c r="W125" s="675">
        <f t="shared" si="121"/>
        <v>0</v>
      </c>
      <c r="X125" s="678"/>
      <c r="Y125" s="678">
        <f t="shared" si="122"/>
        <v>0</v>
      </c>
      <c r="Z125" s="676">
        <f t="shared" si="123"/>
        <v>0</v>
      </c>
      <c r="AA125" s="676">
        <f t="shared" si="124"/>
        <v>0</v>
      </c>
      <c r="AB125" s="678">
        <f t="shared" si="125"/>
        <v>0</v>
      </c>
      <c r="AC125" s="678">
        <f t="shared" si="126"/>
        <v>0</v>
      </c>
      <c r="AD125" s="521">
        <f t="shared" si="127"/>
        <v>0</v>
      </c>
      <c r="AE125" s="521">
        <f t="shared" si="128"/>
        <v>0</v>
      </c>
      <c r="AF125" s="678">
        <f t="shared" si="129"/>
        <v>0</v>
      </c>
      <c r="AG125" s="678">
        <f t="shared" si="130"/>
        <v>0</v>
      </c>
      <c r="AH125" s="678" t="e">
        <f t="shared" si="131"/>
        <v>#DIV/0!</v>
      </c>
      <c r="AJ125" s="678"/>
      <c r="AK125" s="678"/>
      <c r="AL125" s="678">
        <f t="shared" si="109"/>
        <v>0</v>
      </c>
      <c r="AM125" s="678">
        <f t="shared" si="110"/>
        <v>0</v>
      </c>
      <c r="AN125" s="678">
        <f t="shared" si="111"/>
        <v>0</v>
      </c>
      <c r="AO125" s="678">
        <f t="shared" si="112"/>
        <v>0</v>
      </c>
      <c r="AP125" s="678">
        <f t="shared" si="113"/>
        <v>0</v>
      </c>
      <c r="AQ125" s="678">
        <f t="shared" si="132"/>
        <v>0</v>
      </c>
      <c r="AR125" s="678">
        <f t="shared" si="133"/>
        <v>0</v>
      </c>
      <c r="AS125" s="678">
        <f t="shared" si="134"/>
        <v>0</v>
      </c>
      <c r="AT125" s="678">
        <f t="shared" si="135"/>
        <v>0</v>
      </c>
      <c r="AU125" s="678">
        <f t="shared" si="136"/>
        <v>0</v>
      </c>
      <c r="AV125" s="1334" t="b">
        <v>1</v>
      </c>
      <c r="AW125" s="1113">
        <f>INDEX(Pflanzen!$BM$5:$BM$98,'Berechnung Nährstoffe und Lager'!$AX125)</f>
        <v>0</v>
      </c>
      <c r="AX125" s="532">
        <v>1</v>
      </c>
      <c r="AY125" s="532">
        <f>INDEX(Pflanzen!$K$5:$K$98,'Berechnung Nährstoffe und Lager'!$AX125)</f>
        <v>0</v>
      </c>
      <c r="AZ125" s="532">
        <f>INDEX(Pflanzen!$L$5:$L$98,'Berechnung Nährstoffe und Lager'!$AX125)</f>
        <v>0</v>
      </c>
      <c r="BA125" s="532">
        <f>INDEX(Pflanzen!$M$5:$M$98,'Berechnung Nährstoffe und Lager'!$AX125)</f>
        <v>0</v>
      </c>
      <c r="BB125" s="532">
        <f>INDEX(Pflanzen!$O$5:$O$98,'Berechnung Nährstoffe und Lager'!$AX125)</f>
        <v>0</v>
      </c>
      <c r="BC125" s="532">
        <f>INDEX(Pflanzen!$AV$5:$AV$98,'Berechnung Nährstoffe und Lager'!$AX125)</f>
        <v>0</v>
      </c>
      <c r="BD125" s="532">
        <f>INDEX(Pflanzen!$BA$5:$BA$98,'Berechnung Nährstoffe und Lager'!$AX125)</f>
        <v>0</v>
      </c>
      <c r="BE125" s="532">
        <f>INDEX(Pflanzen!$BC$5:$BC$98,'Berechnung Nährstoffe und Lager'!$AX125)</f>
        <v>0</v>
      </c>
      <c r="BF125" s="585">
        <f t="shared" si="137"/>
        <v>0</v>
      </c>
      <c r="BG125" s="590">
        <f t="shared" si="138"/>
        <v>0</v>
      </c>
      <c r="BH125" s="590">
        <f t="shared" si="139"/>
        <v>0</v>
      </c>
      <c r="BI125" s="532">
        <f>INDEX(Pflanzen!$BL$5:$BL110,'Berechnung Nährstoffe und Lager'!$AX125)</f>
        <v>0</v>
      </c>
      <c r="BJ125" s="585">
        <f t="shared" si="140"/>
        <v>0</v>
      </c>
      <c r="BK125" s="585"/>
      <c r="BM125" s="585"/>
      <c r="BN125" s="532">
        <f>INDEX(Pflanzen!$BN$5:$BN$98,'Berechnung Nährstoffe und Lager'!$AX125)</f>
        <v>0</v>
      </c>
      <c r="BO125" s="594">
        <f t="shared" si="114"/>
        <v>0</v>
      </c>
      <c r="BP125" s="585"/>
      <c r="BQ125" s="585"/>
      <c r="BR125" s="585"/>
      <c r="BS125" s="585"/>
      <c r="BT125" s="585"/>
      <c r="BU125" s="585"/>
      <c r="BV125" s="585"/>
      <c r="BW125" s="532"/>
      <c r="BX125" s="532"/>
      <c r="BY125" s="532"/>
      <c r="BZ125" s="532"/>
      <c r="CA125" s="532"/>
      <c r="CB125" s="532"/>
      <c r="CC125" s="532"/>
      <c r="CD125" s="532"/>
      <c r="CE125" s="532"/>
      <c r="CF125" s="532"/>
      <c r="CG125" s="532"/>
      <c r="CH125" s="532"/>
      <c r="CI125" s="560"/>
      <c r="CJ125" s="560"/>
      <c r="CK125" s="560"/>
      <c r="CL125" s="590"/>
      <c r="CM125" s="532"/>
      <c r="CN125" s="532"/>
      <c r="CO125" s="532"/>
      <c r="CP125" s="566"/>
      <c r="CQ125" s="566"/>
      <c r="CR125" s="566"/>
      <c r="CS125" s="566"/>
      <c r="CT125" s="566"/>
      <c r="CU125" s="532"/>
      <c r="CV125" s="532"/>
      <c r="CW125" s="532"/>
      <c r="CX125" s="532"/>
      <c r="CY125" s="532"/>
      <c r="CZ125" s="532"/>
      <c r="DA125" s="532"/>
      <c r="DB125" s="532"/>
      <c r="DC125" s="532"/>
      <c r="DD125" s="532"/>
      <c r="DE125" s="532"/>
      <c r="DF125" s="532"/>
      <c r="DG125" s="532"/>
      <c r="DH125" s="532"/>
      <c r="DI125" s="532"/>
      <c r="DJ125" s="532"/>
      <c r="DK125" s="532"/>
      <c r="DL125" s="560"/>
      <c r="DM125" s="560"/>
      <c r="DN125" s="560"/>
      <c r="DO125" s="560"/>
      <c r="DP125" s="560"/>
      <c r="DQ125" s="560"/>
      <c r="DR125" s="560"/>
      <c r="DS125" s="560"/>
      <c r="DT125" s="560"/>
      <c r="DU125" s="560"/>
      <c r="DV125" s="560"/>
      <c r="DW125" s="560"/>
      <c r="DX125" s="560"/>
      <c r="DY125" s="560"/>
      <c r="DZ125" s="560"/>
      <c r="EA125" s="560"/>
      <c r="EB125" s="560"/>
      <c r="EC125" s="560"/>
      <c r="ED125" s="585"/>
      <c r="EE125" s="585"/>
      <c r="EF125" s="532"/>
      <c r="EG125" s="532"/>
      <c r="EH125" s="532"/>
      <c r="EI125" s="532"/>
      <c r="EJ125" s="532"/>
      <c r="EK125" s="532"/>
      <c r="EL125" s="20"/>
      <c r="EM125" s="20"/>
      <c r="EN125" s="19"/>
      <c r="EO125" s="19"/>
      <c r="EP125" s="20"/>
      <c r="EQ125" s="20"/>
      <c r="ER125" s="20"/>
      <c r="ES125" s="20"/>
      <c r="ET125" s="20"/>
      <c r="EU125" s="20"/>
    </row>
    <row r="126" spans="1:151" ht="15.75" customHeight="1" x14ac:dyDescent="0.25">
      <c r="A126" s="1192"/>
      <c r="B126" s="1186"/>
      <c r="C126" s="1232"/>
      <c r="D126" s="1229"/>
      <c r="E126" s="1203"/>
      <c r="F126" s="1187">
        <f t="shared" si="102"/>
        <v>0</v>
      </c>
      <c r="G126" s="1188">
        <f t="shared" si="103"/>
        <v>0</v>
      </c>
      <c r="H126" s="1189">
        <f t="shared" si="104"/>
        <v>0</v>
      </c>
      <c r="I126" s="1188">
        <f t="shared" si="105"/>
        <v>0</v>
      </c>
      <c r="J126" s="1189">
        <f t="shared" si="106"/>
        <v>0</v>
      </c>
      <c r="K126" s="1965">
        <f t="shared" si="107"/>
        <v>0</v>
      </c>
      <c r="L126" s="1965"/>
      <c r="M126" s="1193">
        <f t="shared" si="108"/>
        <v>0</v>
      </c>
      <c r="N126" s="676"/>
      <c r="Q126" s="672">
        <f t="shared" si="115"/>
        <v>0</v>
      </c>
      <c r="R126" s="674">
        <f t="shared" si="116"/>
        <v>0</v>
      </c>
      <c r="S126" s="673">
        <f t="shared" si="117"/>
        <v>0</v>
      </c>
      <c r="T126" s="673">
        <f t="shared" si="118"/>
        <v>0</v>
      </c>
      <c r="U126" s="674">
        <f t="shared" si="119"/>
        <v>0</v>
      </c>
      <c r="V126" s="674">
        <f t="shared" si="120"/>
        <v>0</v>
      </c>
      <c r="W126" s="675">
        <f t="shared" si="121"/>
        <v>0</v>
      </c>
      <c r="X126" s="678"/>
      <c r="Y126" s="678">
        <f t="shared" si="122"/>
        <v>0</v>
      </c>
      <c r="Z126" s="676">
        <f t="shared" si="123"/>
        <v>0</v>
      </c>
      <c r="AA126" s="676">
        <f t="shared" si="124"/>
        <v>0</v>
      </c>
      <c r="AB126" s="678">
        <f t="shared" si="125"/>
        <v>0</v>
      </c>
      <c r="AC126" s="678">
        <f t="shared" si="126"/>
        <v>0</v>
      </c>
      <c r="AD126" s="521">
        <f t="shared" si="127"/>
        <v>0</v>
      </c>
      <c r="AE126" s="521">
        <f t="shared" si="128"/>
        <v>0</v>
      </c>
      <c r="AF126" s="678">
        <f t="shared" si="129"/>
        <v>0</v>
      </c>
      <c r="AG126" s="678">
        <f t="shared" si="130"/>
        <v>0</v>
      </c>
      <c r="AH126" s="678" t="e">
        <f t="shared" si="131"/>
        <v>#DIV/0!</v>
      </c>
      <c r="AJ126" s="678"/>
      <c r="AK126" s="678"/>
      <c r="AL126" s="678">
        <f t="shared" si="109"/>
        <v>0</v>
      </c>
      <c r="AM126" s="678">
        <f t="shared" si="110"/>
        <v>0</v>
      </c>
      <c r="AN126" s="678">
        <f t="shared" si="111"/>
        <v>0</v>
      </c>
      <c r="AO126" s="678">
        <f t="shared" si="112"/>
        <v>0</v>
      </c>
      <c r="AP126" s="678">
        <f t="shared" si="113"/>
        <v>0</v>
      </c>
      <c r="AQ126" s="678">
        <f t="shared" si="132"/>
        <v>0</v>
      </c>
      <c r="AR126" s="678">
        <f t="shared" si="133"/>
        <v>0</v>
      </c>
      <c r="AS126" s="678">
        <f t="shared" si="134"/>
        <v>0</v>
      </c>
      <c r="AT126" s="678">
        <f t="shared" si="135"/>
        <v>0</v>
      </c>
      <c r="AU126" s="678">
        <f t="shared" si="136"/>
        <v>0</v>
      </c>
      <c r="AV126" s="1334" t="b">
        <v>1</v>
      </c>
      <c r="AW126" s="1113">
        <f>INDEX(Pflanzen!$BM$5:$BM$98,'Berechnung Nährstoffe und Lager'!$AX126)</f>
        <v>0</v>
      </c>
      <c r="AX126" s="532">
        <v>1</v>
      </c>
      <c r="AY126" s="532">
        <f>INDEX(Pflanzen!$K$5:$K$98,'Berechnung Nährstoffe und Lager'!$AX126)</f>
        <v>0</v>
      </c>
      <c r="AZ126" s="532">
        <f>INDEX(Pflanzen!$L$5:$L$98,'Berechnung Nährstoffe und Lager'!$AX126)</f>
        <v>0</v>
      </c>
      <c r="BA126" s="532">
        <f>INDEX(Pflanzen!$M$5:$M$98,'Berechnung Nährstoffe und Lager'!$AX126)</f>
        <v>0</v>
      </c>
      <c r="BB126" s="532">
        <f>INDEX(Pflanzen!$O$5:$O$98,'Berechnung Nährstoffe und Lager'!$AX126)</f>
        <v>0</v>
      </c>
      <c r="BC126" s="532">
        <f>INDEX(Pflanzen!$AV$5:$AV$98,'Berechnung Nährstoffe und Lager'!$AX126)</f>
        <v>0</v>
      </c>
      <c r="BD126" s="532">
        <f>INDEX(Pflanzen!$BA$5:$BA$98,'Berechnung Nährstoffe und Lager'!$AX126)</f>
        <v>0</v>
      </c>
      <c r="BE126" s="532">
        <f>INDEX(Pflanzen!$BC$5:$BC$98,'Berechnung Nährstoffe und Lager'!$AX126)</f>
        <v>0</v>
      </c>
      <c r="BF126" s="585">
        <f t="shared" si="137"/>
        <v>0</v>
      </c>
      <c r="BG126" s="590">
        <f t="shared" si="138"/>
        <v>0</v>
      </c>
      <c r="BH126" s="590">
        <f t="shared" si="139"/>
        <v>0</v>
      </c>
      <c r="BI126" s="532">
        <f>INDEX(Pflanzen!$BL$5:$BL111,'Berechnung Nährstoffe und Lager'!$AX126)</f>
        <v>0</v>
      </c>
      <c r="BJ126" s="585">
        <f t="shared" si="140"/>
        <v>0</v>
      </c>
      <c r="BK126" s="585"/>
      <c r="BM126" s="585"/>
      <c r="BN126" s="532">
        <f>INDEX(Pflanzen!$BN$5:$BN$98,'Berechnung Nährstoffe und Lager'!$AX126)</f>
        <v>0</v>
      </c>
      <c r="BO126" s="594">
        <f t="shared" si="114"/>
        <v>0</v>
      </c>
      <c r="BP126" s="585"/>
      <c r="BQ126" s="585"/>
      <c r="BR126" s="585"/>
      <c r="BS126" s="585"/>
      <c r="BT126" s="585"/>
      <c r="BU126" s="585"/>
      <c r="BV126" s="585"/>
      <c r="BW126" s="532"/>
      <c r="BX126" s="532"/>
      <c r="BY126" s="532"/>
      <c r="BZ126" s="532"/>
      <c r="CA126" s="532"/>
      <c r="CB126" s="532"/>
      <c r="CC126" s="532"/>
      <c r="CD126" s="532"/>
      <c r="CE126" s="532"/>
      <c r="CF126" s="532"/>
      <c r="CG126" s="532"/>
      <c r="CH126" s="532"/>
      <c r="CI126" s="560"/>
      <c r="CJ126" s="560"/>
      <c r="CK126" s="560"/>
      <c r="CL126" s="590"/>
      <c r="CM126" s="532"/>
      <c r="CN126" s="532"/>
      <c r="CO126" s="532"/>
      <c r="CP126" s="566"/>
      <c r="CQ126" s="566"/>
      <c r="CR126" s="566"/>
      <c r="CS126" s="566"/>
      <c r="CT126" s="566"/>
      <c r="CU126" s="532"/>
      <c r="CV126" s="532"/>
      <c r="CW126" s="532"/>
      <c r="CX126" s="532"/>
      <c r="CY126" s="532"/>
      <c r="CZ126" s="532"/>
      <c r="DA126" s="532"/>
      <c r="DB126" s="532"/>
      <c r="DC126" s="532"/>
      <c r="DD126" s="532"/>
      <c r="DE126" s="532"/>
      <c r="DF126" s="532"/>
      <c r="DG126" s="532"/>
      <c r="DH126" s="532"/>
      <c r="DI126" s="532"/>
      <c r="DJ126" s="532"/>
      <c r="DK126" s="532"/>
      <c r="DL126" s="560"/>
      <c r="DM126" s="560"/>
      <c r="DN126" s="560"/>
      <c r="DO126" s="560"/>
      <c r="DP126" s="560"/>
      <c r="DQ126" s="560"/>
      <c r="DR126" s="560"/>
      <c r="DS126" s="560"/>
      <c r="DT126" s="560"/>
      <c r="DU126" s="560"/>
      <c r="DV126" s="560"/>
      <c r="DW126" s="560"/>
      <c r="DX126" s="560"/>
      <c r="DY126" s="560"/>
      <c r="DZ126" s="560"/>
      <c r="EA126" s="560"/>
      <c r="EB126" s="560"/>
      <c r="EC126" s="560"/>
      <c r="ED126" s="585"/>
      <c r="EE126" s="585"/>
      <c r="EF126" s="532"/>
      <c r="EG126" s="532"/>
      <c r="EH126" s="532"/>
      <c r="EI126" s="532"/>
      <c r="EJ126" s="532"/>
      <c r="EK126" s="532"/>
      <c r="EL126" s="20"/>
      <c r="EM126" s="20"/>
      <c r="EN126" s="19"/>
      <c r="EO126" s="19"/>
      <c r="EP126" s="20"/>
      <c r="EQ126" s="20"/>
      <c r="ER126" s="20"/>
      <c r="ES126" s="20"/>
      <c r="ET126" s="20"/>
      <c r="EU126" s="20"/>
    </row>
    <row r="127" spans="1:151" ht="15.75" customHeight="1" x14ac:dyDescent="0.25">
      <c r="A127" s="1192"/>
      <c r="B127" s="1186"/>
      <c r="C127" s="1232"/>
      <c r="D127" s="1229"/>
      <c r="E127" s="1203"/>
      <c r="F127" s="1187">
        <f t="shared" si="102"/>
        <v>0</v>
      </c>
      <c r="G127" s="1188">
        <f t="shared" si="103"/>
        <v>0</v>
      </c>
      <c r="H127" s="1189">
        <f t="shared" si="104"/>
        <v>0</v>
      </c>
      <c r="I127" s="1188">
        <f t="shared" si="105"/>
        <v>0</v>
      </c>
      <c r="J127" s="1189">
        <f t="shared" si="106"/>
        <v>0</v>
      </c>
      <c r="K127" s="1965">
        <f t="shared" si="107"/>
        <v>0</v>
      </c>
      <c r="L127" s="1965"/>
      <c r="M127" s="1193">
        <f t="shared" si="108"/>
        <v>0</v>
      </c>
      <c r="N127" s="676"/>
      <c r="Q127" s="672">
        <f t="shared" si="115"/>
        <v>0</v>
      </c>
      <c r="R127" s="674">
        <f t="shared" si="116"/>
        <v>0</v>
      </c>
      <c r="S127" s="673">
        <f t="shared" si="117"/>
        <v>0</v>
      </c>
      <c r="T127" s="673">
        <f t="shared" si="118"/>
        <v>0</v>
      </c>
      <c r="U127" s="674">
        <f t="shared" si="119"/>
        <v>0</v>
      </c>
      <c r="V127" s="674">
        <f t="shared" si="120"/>
        <v>0</v>
      </c>
      <c r="W127" s="675">
        <f t="shared" si="121"/>
        <v>0</v>
      </c>
      <c r="X127" s="678"/>
      <c r="Y127" s="678">
        <f t="shared" si="122"/>
        <v>0</v>
      </c>
      <c r="Z127" s="676">
        <f t="shared" si="123"/>
        <v>0</v>
      </c>
      <c r="AA127" s="676">
        <f t="shared" si="124"/>
        <v>0</v>
      </c>
      <c r="AB127" s="678">
        <f t="shared" si="125"/>
        <v>0</v>
      </c>
      <c r="AC127" s="678">
        <f t="shared" si="126"/>
        <v>0</v>
      </c>
      <c r="AD127" s="521">
        <f t="shared" si="127"/>
        <v>0</v>
      </c>
      <c r="AE127" s="521">
        <f t="shared" si="128"/>
        <v>0</v>
      </c>
      <c r="AF127" s="678">
        <f t="shared" si="129"/>
        <v>0</v>
      </c>
      <c r="AG127" s="678">
        <f t="shared" si="130"/>
        <v>0</v>
      </c>
      <c r="AH127" s="678" t="e">
        <f t="shared" si="131"/>
        <v>#DIV/0!</v>
      </c>
      <c r="AJ127" s="678"/>
      <c r="AK127" s="678"/>
      <c r="AL127" s="678">
        <f t="shared" si="109"/>
        <v>0</v>
      </c>
      <c r="AM127" s="678">
        <f t="shared" si="110"/>
        <v>0</v>
      </c>
      <c r="AN127" s="678">
        <f t="shared" si="111"/>
        <v>0</v>
      </c>
      <c r="AO127" s="678">
        <f t="shared" si="112"/>
        <v>0</v>
      </c>
      <c r="AP127" s="678">
        <f t="shared" si="113"/>
        <v>0</v>
      </c>
      <c r="AQ127" s="678">
        <f t="shared" si="132"/>
        <v>0</v>
      </c>
      <c r="AR127" s="678">
        <f t="shared" si="133"/>
        <v>0</v>
      </c>
      <c r="AS127" s="678">
        <f t="shared" si="134"/>
        <v>0</v>
      </c>
      <c r="AT127" s="678">
        <f t="shared" si="135"/>
        <v>0</v>
      </c>
      <c r="AU127" s="678">
        <f t="shared" si="136"/>
        <v>0</v>
      </c>
      <c r="AV127" s="1334" t="b">
        <v>1</v>
      </c>
      <c r="AW127" s="1113">
        <f>INDEX(Pflanzen!$BM$5:$BM$98,'Berechnung Nährstoffe und Lager'!$AX127)</f>
        <v>0</v>
      </c>
      <c r="AX127" s="532">
        <v>1</v>
      </c>
      <c r="AY127" s="532">
        <f>INDEX(Pflanzen!$K$5:$K$98,'Berechnung Nährstoffe und Lager'!$AX127)</f>
        <v>0</v>
      </c>
      <c r="AZ127" s="532">
        <f>INDEX(Pflanzen!$L$5:$L$98,'Berechnung Nährstoffe und Lager'!$AX127)</f>
        <v>0</v>
      </c>
      <c r="BA127" s="532">
        <f>INDEX(Pflanzen!$M$5:$M$98,'Berechnung Nährstoffe und Lager'!$AX127)</f>
        <v>0</v>
      </c>
      <c r="BB127" s="532">
        <f>INDEX(Pflanzen!$O$5:$O$98,'Berechnung Nährstoffe und Lager'!$AX127)</f>
        <v>0</v>
      </c>
      <c r="BC127" s="532">
        <f>INDEX(Pflanzen!$AV$5:$AV$98,'Berechnung Nährstoffe und Lager'!$AX127)</f>
        <v>0</v>
      </c>
      <c r="BD127" s="532">
        <f>INDEX(Pflanzen!$BA$5:$BA$98,'Berechnung Nährstoffe und Lager'!$AX127)</f>
        <v>0</v>
      </c>
      <c r="BE127" s="532">
        <f>INDEX(Pflanzen!$BC$5:$BC$98,'Berechnung Nährstoffe und Lager'!$AX127)</f>
        <v>0</v>
      </c>
      <c r="BF127" s="585">
        <f t="shared" si="137"/>
        <v>0</v>
      </c>
      <c r="BG127" s="590">
        <f t="shared" si="138"/>
        <v>0</v>
      </c>
      <c r="BH127" s="590">
        <f t="shared" si="139"/>
        <v>0</v>
      </c>
      <c r="BI127" s="532">
        <f>INDEX(Pflanzen!$BL$5:$BL112,'Berechnung Nährstoffe und Lager'!$AX127)</f>
        <v>0</v>
      </c>
      <c r="BJ127" s="585">
        <f t="shared" si="140"/>
        <v>0</v>
      </c>
      <c r="BK127" s="585"/>
      <c r="BM127" s="585"/>
      <c r="BN127" s="532">
        <f>INDEX(Pflanzen!$BN$5:$BN$98,'Berechnung Nährstoffe und Lager'!$AX127)</f>
        <v>0</v>
      </c>
      <c r="BO127" s="594">
        <f t="shared" si="114"/>
        <v>0</v>
      </c>
      <c r="BP127" s="585"/>
      <c r="BQ127" s="585"/>
      <c r="BR127" s="585"/>
      <c r="BS127" s="585"/>
      <c r="BT127" s="585"/>
      <c r="BU127" s="585"/>
      <c r="BV127" s="585"/>
      <c r="BW127" s="532"/>
      <c r="BX127" s="532"/>
      <c r="BY127" s="532"/>
      <c r="BZ127" s="532"/>
      <c r="CA127" s="532"/>
      <c r="CB127" s="532"/>
      <c r="CC127" s="532"/>
      <c r="CD127" s="532"/>
      <c r="CE127" s="532"/>
      <c r="CF127" s="532"/>
      <c r="CG127" s="532"/>
      <c r="CH127" s="532"/>
      <c r="CI127" s="560"/>
      <c r="CJ127" s="560"/>
      <c r="CK127" s="560"/>
      <c r="CL127" s="590"/>
      <c r="CM127" s="532"/>
      <c r="CN127" s="532"/>
      <c r="CO127" s="532"/>
      <c r="CP127" s="566"/>
      <c r="CQ127" s="566"/>
      <c r="CR127" s="566"/>
      <c r="CS127" s="566"/>
      <c r="CT127" s="566"/>
      <c r="CU127" s="532"/>
      <c r="CV127" s="532"/>
      <c r="CW127" s="532"/>
      <c r="CX127" s="532"/>
      <c r="CY127" s="532"/>
      <c r="CZ127" s="532"/>
      <c r="DA127" s="532"/>
      <c r="DB127" s="532"/>
      <c r="DC127" s="532"/>
      <c r="DD127" s="532"/>
      <c r="DE127" s="532"/>
      <c r="DF127" s="532"/>
      <c r="DG127" s="532"/>
      <c r="DH127" s="532"/>
      <c r="DI127" s="532"/>
      <c r="DJ127" s="532"/>
      <c r="DK127" s="532"/>
      <c r="DL127" s="560"/>
      <c r="DM127" s="560"/>
      <c r="DN127" s="560"/>
      <c r="DO127" s="560"/>
      <c r="DP127" s="560"/>
      <c r="DQ127" s="560"/>
      <c r="DR127" s="560"/>
      <c r="DS127" s="560"/>
      <c r="DT127" s="560"/>
      <c r="DU127" s="560"/>
      <c r="DV127" s="560"/>
      <c r="DW127" s="560"/>
      <c r="DX127" s="560"/>
      <c r="DY127" s="560"/>
      <c r="DZ127" s="560"/>
      <c r="EA127" s="560"/>
      <c r="EB127" s="560"/>
      <c r="EC127" s="560"/>
      <c r="ED127" s="585"/>
      <c r="EE127" s="585"/>
      <c r="EF127" s="532"/>
      <c r="EG127" s="532"/>
      <c r="EH127" s="532"/>
      <c r="EI127" s="532"/>
      <c r="EJ127" s="532"/>
      <c r="EK127" s="532"/>
      <c r="EL127" s="20"/>
      <c r="EM127" s="20"/>
      <c r="EN127" s="19"/>
      <c r="EO127" s="19"/>
      <c r="EP127" s="20"/>
      <c r="EQ127" s="20"/>
      <c r="ER127" s="20"/>
      <c r="ES127" s="20"/>
      <c r="ET127" s="20"/>
      <c r="EU127" s="20"/>
    </row>
    <row r="128" spans="1:151" ht="15.75" customHeight="1" x14ac:dyDescent="0.25">
      <c r="A128" s="1192"/>
      <c r="B128" s="1186"/>
      <c r="C128" s="1232"/>
      <c r="D128" s="1229"/>
      <c r="E128" s="1203"/>
      <c r="F128" s="1187">
        <f t="shared" si="102"/>
        <v>0</v>
      </c>
      <c r="G128" s="1188">
        <f t="shared" si="103"/>
        <v>0</v>
      </c>
      <c r="H128" s="1189">
        <f t="shared" si="104"/>
        <v>0</v>
      </c>
      <c r="I128" s="1188">
        <f t="shared" si="105"/>
        <v>0</v>
      </c>
      <c r="J128" s="1189">
        <f t="shared" si="106"/>
        <v>0</v>
      </c>
      <c r="K128" s="1965">
        <f t="shared" si="107"/>
        <v>0</v>
      </c>
      <c r="L128" s="1965"/>
      <c r="M128" s="1193">
        <f t="shared" si="108"/>
        <v>0</v>
      </c>
      <c r="N128" s="676"/>
      <c r="Q128" s="672">
        <f t="shared" si="115"/>
        <v>0</v>
      </c>
      <c r="R128" s="674">
        <f t="shared" si="116"/>
        <v>0</v>
      </c>
      <c r="S128" s="673">
        <f t="shared" si="117"/>
        <v>0</v>
      </c>
      <c r="T128" s="673">
        <f t="shared" si="118"/>
        <v>0</v>
      </c>
      <c r="U128" s="674">
        <f t="shared" si="119"/>
        <v>0</v>
      </c>
      <c r="V128" s="674">
        <f t="shared" si="120"/>
        <v>0</v>
      </c>
      <c r="W128" s="675">
        <f t="shared" si="121"/>
        <v>0</v>
      </c>
      <c r="X128" s="678"/>
      <c r="Y128" s="678">
        <f t="shared" si="122"/>
        <v>0</v>
      </c>
      <c r="Z128" s="676">
        <f t="shared" si="123"/>
        <v>0</v>
      </c>
      <c r="AA128" s="676">
        <f t="shared" si="124"/>
        <v>0</v>
      </c>
      <c r="AB128" s="678">
        <f t="shared" si="125"/>
        <v>0</v>
      </c>
      <c r="AC128" s="678">
        <f t="shared" si="126"/>
        <v>0</v>
      </c>
      <c r="AD128" s="521">
        <f t="shared" si="127"/>
        <v>0</v>
      </c>
      <c r="AE128" s="521">
        <f t="shared" si="128"/>
        <v>0</v>
      </c>
      <c r="AF128" s="678">
        <f t="shared" si="129"/>
        <v>0</v>
      </c>
      <c r="AG128" s="678">
        <f t="shared" si="130"/>
        <v>0</v>
      </c>
      <c r="AH128" s="678" t="e">
        <f t="shared" si="131"/>
        <v>#DIV/0!</v>
      </c>
      <c r="AJ128" s="678"/>
      <c r="AK128" s="678"/>
      <c r="AL128" s="678">
        <f t="shared" si="109"/>
        <v>0</v>
      </c>
      <c r="AM128" s="678">
        <f t="shared" si="110"/>
        <v>0</v>
      </c>
      <c r="AN128" s="678">
        <f t="shared" si="111"/>
        <v>0</v>
      </c>
      <c r="AO128" s="678">
        <f t="shared" si="112"/>
        <v>0</v>
      </c>
      <c r="AP128" s="678">
        <f t="shared" si="113"/>
        <v>0</v>
      </c>
      <c r="AQ128" s="678">
        <f t="shared" si="132"/>
        <v>0</v>
      </c>
      <c r="AR128" s="678">
        <f t="shared" si="133"/>
        <v>0</v>
      </c>
      <c r="AS128" s="678">
        <f t="shared" si="134"/>
        <v>0</v>
      </c>
      <c r="AT128" s="678">
        <f t="shared" si="135"/>
        <v>0</v>
      </c>
      <c r="AU128" s="678">
        <f t="shared" si="136"/>
        <v>0</v>
      </c>
      <c r="AV128" s="1334" t="b">
        <v>1</v>
      </c>
      <c r="AW128" s="1113">
        <f>INDEX(Pflanzen!$BM$5:$BM$98,'Berechnung Nährstoffe und Lager'!$AX128)</f>
        <v>0</v>
      </c>
      <c r="AX128" s="532">
        <v>1</v>
      </c>
      <c r="AY128" s="532">
        <f>INDEX(Pflanzen!$K$5:$K$98,'Berechnung Nährstoffe und Lager'!$AX128)</f>
        <v>0</v>
      </c>
      <c r="AZ128" s="532">
        <f>INDEX(Pflanzen!$L$5:$L$98,'Berechnung Nährstoffe und Lager'!$AX128)</f>
        <v>0</v>
      </c>
      <c r="BA128" s="532">
        <f>INDEX(Pflanzen!$M$5:$M$98,'Berechnung Nährstoffe und Lager'!$AX128)</f>
        <v>0</v>
      </c>
      <c r="BB128" s="532">
        <f>INDEX(Pflanzen!$O$5:$O$98,'Berechnung Nährstoffe und Lager'!$AX128)</f>
        <v>0</v>
      </c>
      <c r="BC128" s="532">
        <f>INDEX(Pflanzen!$AV$5:$AV$98,'Berechnung Nährstoffe und Lager'!$AX128)</f>
        <v>0</v>
      </c>
      <c r="BD128" s="532">
        <f>INDEX(Pflanzen!$BA$5:$BA$98,'Berechnung Nährstoffe und Lager'!$AX128)</f>
        <v>0</v>
      </c>
      <c r="BE128" s="532">
        <f>INDEX(Pflanzen!$BC$5:$BC$98,'Berechnung Nährstoffe und Lager'!$AX128)</f>
        <v>0</v>
      </c>
      <c r="BF128" s="585">
        <f t="shared" si="137"/>
        <v>0</v>
      </c>
      <c r="BG128" s="590">
        <f t="shared" si="138"/>
        <v>0</v>
      </c>
      <c r="BH128" s="590">
        <f t="shared" si="139"/>
        <v>0</v>
      </c>
      <c r="BI128" s="532">
        <f>INDEX(Pflanzen!$BL$5:$BL113,'Berechnung Nährstoffe und Lager'!$AX128)</f>
        <v>0</v>
      </c>
      <c r="BJ128" s="585">
        <f t="shared" si="140"/>
        <v>0</v>
      </c>
      <c r="BK128" s="585"/>
      <c r="BM128" s="585"/>
      <c r="BN128" s="532">
        <f>INDEX(Pflanzen!$BN$5:$BN$98,'Berechnung Nährstoffe und Lager'!$AX128)</f>
        <v>0</v>
      </c>
      <c r="BO128" s="594">
        <f t="shared" si="114"/>
        <v>0</v>
      </c>
      <c r="BP128" s="585"/>
      <c r="BQ128" s="585"/>
      <c r="BR128" s="585"/>
      <c r="BS128" s="585"/>
      <c r="BT128" s="585"/>
      <c r="BU128" s="585"/>
      <c r="BV128" s="585"/>
      <c r="BW128" s="532"/>
      <c r="BX128" s="532"/>
      <c r="BY128" s="532"/>
      <c r="BZ128" s="532"/>
      <c r="CA128" s="532"/>
      <c r="CB128" s="532"/>
      <c r="CC128" s="532"/>
      <c r="CD128" s="532"/>
      <c r="CE128" s="532"/>
      <c r="CF128" s="532"/>
      <c r="CG128" s="532"/>
      <c r="CH128" s="532"/>
      <c r="CI128" s="560"/>
      <c r="CJ128" s="560"/>
      <c r="CK128" s="560"/>
      <c r="CL128" s="590"/>
      <c r="CM128" s="532"/>
      <c r="CN128" s="532"/>
      <c r="CO128" s="532"/>
      <c r="CP128" s="566"/>
      <c r="CQ128" s="566"/>
      <c r="CR128" s="566"/>
      <c r="CS128" s="566"/>
      <c r="CT128" s="566"/>
      <c r="CU128" s="532"/>
      <c r="CV128" s="532"/>
      <c r="CW128" s="532"/>
      <c r="CX128" s="532"/>
      <c r="CY128" s="532"/>
      <c r="CZ128" s="532"/>
      <c r="DA128" s="532"/>
      <c r="DB128" s="532"/>
      <c r="DC128" s="532"/>
      <c r="DD128" s="532"/>
      <c r="DE128" s="532"/>
      <c r="DF128" s="532"/>
      <c r="DG128" s="532"/>
      <c r="DH128" s="532"/>
      <c r="DI128" s="532"/>
      <c r="DJ128" s="532"/>
      <c r="DK128" s="532"/>
      <c r="DL128" s="560"/>
      <c r="DM128" s="560"/>
      <c r="DN128" s="560"/>
      <c r="DO128" s="560"/>
      <c r="DP128" s="560"/>
      <c r="DQ128" s="560"/>
      <c r="DR128" s="560"/>
      <c r="DS128" s="560"/>
      <c r="DT128" s="560"/>
      <c r="DU128" s="560"/>
      <c r="DV128" s="560"/>
      <c r="DW128" s="560"/>
      <c r="DX128" s="560"/>
      <c r="DY128" s="560"/>
      <c r="DZ128" s="560"/>
      <c r="EA128" s="560"/>
      <c r="EB128" s="560"/>
      <c r="EC128" s="560"/>
      <c r="ED128" s="585"/>
      <c r="EE128" s="585"/>
      <c r="EF128" s="532"/>
      <c r="EG128" s="532"/>
      <c r="EH128" s="532"/>
      <c r="EI128" s="532"/>
      <c r="EJ128" s="532"/>
      <c r="EK128" s="532"/>
      <c r="EL128" s="20"/>
      <c r="EM128" s="20"/>
      <c r="EN128" s="19"/>
      <c r="EO128" s="19"/>
      <c r="EP128" s="20"/>
      <c r="EQ128" s="20"/>
      <c r="ER128" s="20"/>
      <c r="ES128" s="20"/>
      <c r="ET128" s="20"/>
      <c r="EU128" s="20"/>
    </row>
    <row r="129" spans="1:151" ht="15.75" customHeight="1" x14ac:dyDescent="0.25">
      <c r="A129" s="1192"/>
      <c r="B129" s="1186"/>
      <c r="C129" s="1232"/>
      <c r="D129" s="1229"/>
      <c r="E129" s="1203"/>
      <c r="F129" s="1187">
        <f t="shared" si="102"/>
        <v>0</v>
      </c>
      <c r="G129" s="1188">
        <f t="shared" si="103"/>
        <v>0</v>
      </c>
      <c r="H129" s="1189">
        <f t="shared" si="104"/>
        <v>0</v>
      </c>
      <c r="I129" s="1188">
        <f t="shared" si="105"/>
        <v>0</v>
      </c>
      <c r="J129" s="1189">
        <f t="shared" si="106"/>
        <v>0</v>
      </c>
      <c r="K129" s="1965">
        <f t="shared" si="107"/>
        <v>0</v>
      </c>
      <c r="L129" s="1965"/>
      <c r="M129" s="1193">
        <f t="shared" si="108"/>
        <v>0</v>
      </c>
      <c r="N129" s="676"/>
      <c r="Q129" s="672">
        <f t="shared" si="115"/>
        <v>0</v>
      </c>
      <c r="R129" s="674">
        <f t="shared" si="116"/>
        <v>0</v>
      </c>
      <c r="S129" s="673">
        <f t="shared" si="117"/>
        <v>0</v>
      </c>
      <c r="T129" s="673">
        <f t="shared" si="118"/>
        <v>0</v>
      </c>
      <c r="U129" s="674">
        <f t="shared" si="119"/>
        <v>0</v>
      </c>
      <c r="V129" s="674">
        <f t="shared" si="120"/>
        <v>0</v>
      </c>
      <c r="W129" s="675">
        <f t="shared" si="121"/>
        <v>0</v>
      </c>
      <c r="X129" s="678"/>
      <c r="Y129" s="678">
        <f t="shared" si="122"/>
        <v>0</v>
      </c>
      <c r="Z129" s="676">
        <f t="shared" si="123"/>
        <v>0</v>
      </c>
      <c r="AA129" s="676">
        <f t="shared" si="124"/>
        <v>0</v>
      </c>
      <c r="AB129" s="678">
        <f t="shared" si="125"/>
        <v>0</v>
      </c>
      <c r="AC129" s="678">
        <f t="shared" si="126"/>
        <v>0</v>
      </c>
      <c r="AD129" s="521">
        <f t="shared" si="127"/>
        <v>0</v>
      </c>
      <c r="AE129" s="521">
        <f t="shared" si="128"/>
        <v>0</v>
      </c>
      <c r="AF129" s="678">
        <f t="shared" si="129"/>
        <v>0</v>
      </c>
      <c r="AG129" s="678">
        <f t="shared" si="130"/>
        <v>0</v>
      </c>
      <c r="AH129" s="678" t="e">
        <f t="shared" si="131"/>
        <v>#DIV/0!</v>
      </c>
      <c r="AJ129" s="678"/>
      <c r="AK129" s="678"/>
      <c r="AL129" s="678">
        <f t="shared" si="109"/>
        <v>0</v>
      </c>
      <c r="AM129" s="678">
        <f t="shared" si="110"/>
        <v>0</v>
      </c>
      <c r="AN129" s="678">
        <f t="shared" si="111"/>
        <v>0</v>
      </c>
      <c r="AO129" s="678">
        <f t="shared" si="112"/>
        <v>0</v>
      </c>
      <c r="AP129" s="678">
        <f t="shared" si="113"/>
        <v>0</v>
      </c>
      <c r="AQ129" s="678">
        <f t="shared" si="132"/>
        <v>0</v>
      </c>
      <c r="AR129" s="678">
        <f t="shared" si="133"/>
        <v>0</v>
      </c>
      <c r="AS129" s="678">
        <f t="shared" si="134"/>
        <v>0</v>
      </c>
      <c r="AT129" s="678">
        <f t="shared" si="135"/>
        <v>0</v>
      </c>
      <c r="AU129" s="678">
        <f t="shared" si="136"/>
        <v>0</v>
      </c>
      <c r="AV129" s="1334" t="b">
        <v>1</v>
      </c>
      <c r="AW129" s="1113">
        <f>INDEX(Pflanzen!$BM$5:$BM$98,'Berechnung Nährstoffe und Lager'!$AX129)</f>
        <v>0</v>
      </c>
      <c r="AX129" s="532">
        <v>1</v>
      </c>
      <c r="AY129" s="532">
        <f>INDEX(Pflanzen!$K$5:$K$98,'Berechnung Nährstoffe und Lager'!$AX129)</f>
        <v>0</v>
      </c>
      <c r="AZ129" s="532">
        <f>INDEX(Pflanzen!$L$5:$L$98,'Berechnung Nährstoffe und Lager'!$AX129)</f>
        <v>0</v>
      </c>
      <c r="BA129" s="532">
        <f>INDEX(Pflanzen!$M$5:$M$98,'Berechnung Nährstoffe und Lager'!$AX129)</f>
        <v>0</v>
      </c>
      <c r="BB129" s="532">
        <f>INDEX(Pflanzen!$O$5:$O$98,'Berechnung Nährstoffe und Lager'!$AX129)</f>
        <v>0</v>
      </c>
      <c r="BC129" s="532">
        <f>INDEX(Pflanzen!$AV$5:$AV$98,'Berechnung Nährstoffe und Lager'!$AX129)</f>
        <v>0</v>
      </c>
      <c r="BD129" s="532">
        <f>INDEX(Pflanzen!$BA$5:$BA$98,'Berechnung Nährstoffe und Lager'!$AX129)</f>
        <v>0</v>
      </c>
      <c r="BE129" s="532">
        <f>INDEX(Pflanzen!$BC$5:$BC$98,'Berechnung Nährstoffe und Lager'!$AX129)</f>
        <v>0</v>
      </c>
      <c r="BF129" s="585">
        <f t="shared" si="137"/>
        <v>0</v>
      </c>
      <c r="BG129" s="590">
        <f t="shared" si="138"/>
        <v>0</v>
      </c>
      <c r="BH129" s="590">
        <f t="shared" si="139"/>
        <v>0</v>
      </c>
      <c r="BI129" s="532">
        <f>INDEX(Pflanzen!$BL$5:$BL114,'Berechnung Nährstoffe und Lager'!$AX129)</f>
        <v>0</v>
      </c>
      <c r="BJ129" s="585">
        <f t="shared" si="140"/>
        <v>0</v>
      </c>
      <c r="BK129" s="585"/>
      <c r="BM129" s="585"/>
      <c r="BN129" s="532">
        <f>INDEX(Pflanzen!$BN$5:$BN$98,'Berechnung Nährstoffe und Lager'!$AX129)</f>
        <v>0</v>
      </c>
      <c r="BO129" s="594">
        <f t="shared" si="114"/>
        <v>0</v>
      </c>
      <c r="BP129" s="585"/>
      <c r="BQ129" s="585"/>
      <c r="BR129" s="585"/>
      <c r="BS129" s="585"/>
      <c r="BT129" s="585"/>
      <c r="BU129" s="585"/>
      <c r="BV129" s="585"/>
      <c r="BW129" s="532"/>
      <c r="BX129" s="532"/>
      <c r="BY129" s="532"/>
      <c r="BZ129" s="532"/>
      <c r="CA129" s="532"/>
      <c r="CB129" s="532"/>
      <c r="CC129" s="532"/>
      <c r="CD129" s="532"/>
      <c r="CE129" s="532"/>
      <c r="CF129" s="532"/>
      <c r="CG129" s="532"/>
      <c r="CH129" s="532"/>
      <c r="CI129" s="560"/>
      <c r="CJ129" s="560"/>
      <c r="CK129" s="560"/>
      <c r="CL129" s="590"/>
      <c r="CM129" s="532"/>
      <c r="CN129" s="532"/>
      <c r="CO129" s="532"/>
      <c r="CP129" s="566"/>
      <c r="CQ129" s="566"/>
      <c r="CR129" s="566"/>
      <c r="CS129" s="566"/>
      <c r="CT129" s="566"/>
      <c r="CU129" s="532"/>
      <c r="CV129" s="532"/>
      <c r="CW129" s="532"/>
      <c r="CX129" s="532"/>
      <c r="CY129" s="532"/>
      <c r="CZ129" s="532"/>
      <c r="DA129" s="532"/>
      <c r="DB129" s="532"/>
      <c r="DC129" s="532"/>
      <c r="DD129" s="532"/>
      <c r="DE129" s="532"/>
      <c r="DF129" s="532"/>
      <c r="DG129" s="532"/>
      <c r="DH129" s="532"/>
      <c r="DI129" s="532"/>
      <c r="DJ129" s="532"/>
      <c r="DK129" s="532"/>
      <c r="DL129" s="560"/>
      <c r="DM129" s="560"/>
      <c r="DN129" s="560"/>
      <c r="DO129" s="560"/>
      <c r="DP129" s="560"/>
      <c r="DQ129" s="560"/>
      <c r="DR129" s="560"/>
      <c r="DS129" s="560"/>
      <c r="DT129" s="560"/>
      <c r="DU129" s="560"/>
      <c r="DV129" s="560"/>
      <c r="DW129" s="560"/>
      <c r="DX129" s="560"/>
      <c r="DY129" s="560"/>
      <c r="DZ129" s="560"/>
      <c r="EA129" s="560"/>
      <c r="EB129" s="560"/>
      <c r="EC129" s="560"/>
      <c r="ED129" s="585"/>
      <c r="EE129" s="585"/>
      <c r="EF129" s="532"/>
      <c r="EG129" s="532"/>
      <c r="EH129" s="532"/>
      <c r="EI129" s="532"/>
      <c r="EJ129" s="532"/>
      <c r="EK129" s="532"/>
      <c r="EL129" s="20"/>
      <c r="EM129" s="20"/>
      <c r="EN129" s="19"/>
      <c r="EO129" s="19"/>
      <c r="EP129" s="20"/>
      <c r="EQ129" s="20"/>
      <c r="ER129" s="20"/>
      <c r="ES129" s="20"/>
      <c r="ET129" s="20"/>
      <c r="EU129" s="20"/>
    </row>
    <row r="130" spans="1:151" ht="15.75" customHeight="1" thickBot="1" x14ac:dyDescent="0.3">
      <c r="A130" s="1194"/>
      <c r="B130" s="1195"/>
      <c r="C130" s="1233"/>
      <c r="D130" s="1230"/>
      <c r="E130" s="1209"/>
      <c r="F130" s="1196">
        <f t="shared" si="102"/>
        <v>0</v>
      </c>
      <c r="G130" s="1197">
        <f t="shared" si="103"/>
        <v>0</v>
      </c>
      <c r="H130" s="1198">
        <f t="shared" si="104"/>
        <v>0</v>
      </c>
      <c r="I130" s="1197">
        <f t="shared" si="105"/>
        <v>0</v>
      </c>
      <c r="J130" s="1198">
        <f t="shared" si="106"/>
        <v>0</v>
      </c>
      <c r="K130" s="2113">
        <f t="shared" si="107"/>
        <v>0</v>
      </c>
      <c r="L130" s="2113"/>
      <c r="M130" s="1199">
        <f t="shared" si="108"/>
        <v>0</v>
      </c>
      <c r="N130" s="676"/>
      <c r="Q130" s="672">
        <f t="shared" si="115"/>
        <v>0</v>
      </c>
      <c r="R130" s="674">
        <f t="shared" si="116"/>
        <v>0</v>
      </c>
      <c r="S130" s="673">
        <f t="shared" si="117"/>
        <v>0</v>
      </c>
      <c r="T130" s="673">
        <f t="shared" si="118"/>
        <v>0</v>
      </c>
      <c r="U130" s="674">
        <f t="shared" si="119"/>
        <v>0</v>
      </c>
      <c r="V130" s="674">
        <f t="shared" si="120"/>
        <v>0</v>
      </c>
      <c r="W130" s="675">
        <f t="shared" si="121"/>
        <v>0</v>
      </c>
      <c r="X130" s="678"/>
      <c r="Y130" s="678">
        <f t="shared" si="122"/>
        <v>0</v>
      </c>
      <c r="Z130" s="676">
        <f t="shared" si="123"/>
        <v>0</v>
      </c>
      <c r="AA130" s="676">
        <f t="shared" si="124"/>
        <v>0</v>
      </c>
      <c r="AB130" s="678">
        <f t="shared" si="125"/>
        <v>0</v>
      </c>
      <c r="AC130" s="678">
        <f t="shared" si="126"/>
        <v>0</v>
      </c>
      <c r="AD130" s="521">
        <f t="shared" si="127"/>
        <v>0</v>
      </c>
      <c r="AE130" s="521">
        <f t="shared" si="128"/>
        <v>0</v>
      </c>
      <c r="AF130" s="678">
        <f t="shared" si="129"/>
        <v>0</v>
      </c>
      <c r="AG130" s="678">
        <f t="shared" si="130"/>
        <v>0</v>
      </c>
      <c r="AH130" s="678" t="e">
        <f t="shared" si="131"/>
        <v>#DIV/0!</v>
      </c>
      <c r="AJ130" s="678"/>
      <c r="AK130" s="678"/>
      <c r="AL130" s="678">
        <f t="shared" si="109"/>
        <v>0</v>
      </c>
      <c r="AM130" s="678">
        <f t="shared" si="110"/>
        <v>0</v>
      </c>
      <c r="AN130" s="678">
        <f t="shared" si="111"/>
        <v>0</v>
      </c>
      <c r="AO130" s="678">
        <f t="shared" si="112"/>
        <v>0</v>
      </c>
      <c r="AP130" s="678">
        <f t="shared" si="113"/>
        <v>0</v>
      </c>
      <c r="AQ130" s="678">
        <f t="shared" si="132"/>
        <v>0</v>
      </c>
      <c r="AR130" s="678">
        <f t="shared" si="133"/>
        <v>0</v>
      </c>
      <c r="AS130" s="678">
        <f t="shared" si="134"/>
        <v>0</v>
      </c>
      <c r="AT130" s="678">
        <f t="shared" si="135"/>
        <v>0</v>
      </c>
      <c r="AU130" s="678">
        <f t="shared" si="136"/>
        <v>0</v>
      </c>
      <c r="AV130" s="1334" t="b">
        <v>1</v>
      </c>
      <c r="AW130" s="1113">
        <f>INDEX(Pflanzen!$BM$5:$BM$98,'Berechnung Nährstoffe und Lager'!$AX130)</f>
        <v>0</v>
      </c>
      <c r="AX130" s="532">
        <v>1</v>
      </c>
      <c r="AY130" s="532">
        <f>INDEX(Pflanzen!$K$5:$K$98,'Berechnung Nährstoffe und Lager'!$AX130)</f>
        <v>0</v>
      </c>
      <c r="AZ130" s="532">
        <f>INDEX(Pflanzen!$L$5:$L$98,'Berechnung Nährstoffe und Lager'!$AX130)</f>
        <v>0</v>
      </c>
      <c r="BA130" s="532">
        <f>INDEX(Pflanzen!$M$5:$M$98,'Berechnung Nährstoffe und Lager'!$AX130)</f>
        <v>0</v>
      </c>
      <c r="BB130" s="532">
        <f>INDEX(Pflanzen!$O$5:$O$98,'Berechnung Nährstoffe und Lager'!$AX130)</f>
        <v>0</v>
      </c>
      <c r="BC130" s="532">
        <f>INDEX(Pflanzen!$AV$5:$AV$98,'Berechnung Nährstoffe und Lager'!$AX130)</f>
        <v>0</v>
      </c>
      <c r="BD130" s="532">
        <f>INDEX(Pflanzen!$BA$5:$BA$98,'Berechnung Nährstoffe und Lager'!$AX130)</f>
        <v>0</v>
      </c>
      <c r="BE130" s="532">
        <f>INDEX(Pflanzen!$BC$5:$BC$98,'Berechnung Nährstoffe und Lager'!$AX130)</f>
        <v>0</v>
      </c>
      <c r="BF130" s="585">
        <f t="shared" si="137"/>
        <v>0</v>
      </c>
      <c r="BG130" s="590">
        <f t="shared" si="138"/>
        <v>0</v>
      </c>
      <c r="BH130" s="590">
        <f t="shared" si="139"/>
        <v>0</v>
      </c>
      <c r="BI130" s="532">
        <f>INDEX(Pflanzen!$BL$5:$BL115,'Berechnung Nährstoffe und Lager'!$AX130)</f>
        <v>0</v>
      </c>
      <c r="BJ130" s="585">
        <f t="shared" si="140"/>
        <v>0</v>
      </c>
      <c r="BK130" s="585"/>
      <c r="BM130" s="585"/>
      <c r="BN130" s="532">
        <f>INDEX(Pflanzen!$BN$5:$BN$98,'Berechnung Nährstoffe und Lager'!$AX130)</f>
        <v>0</v>
      </c>
      <c r="BO130" s="594">
        <f t="shared" si="114"/>
        <v>0</v>
      </c>
      <c r="BP130" s="585"/>
      <c r="BQ130" s="585"/>
      <c r="BR130" s="585"/>
      <c r="BS130" s="585"/>
      <c r="BT130" s="585"/>
      <c r="BU130" s="585"/>
      <c r="BV130" s="585"/>
      <c r="BW130" s="532"/>
      <c r="BX130" s="532"/>
      <c r="BY130" s="532"/>
      <c r="BZ130" s="532"/>
      <c r="CA130" s="532"/>
      <c r="CB130" s="532"/>
      <c r="CC130" s="532"/>
      <c r="CD130" s="532"/>
      <c r="CE130" s="532"/>
      <c r="CF130" s="532"/>
      <c r="CG130" s="532"/>
      <c r="CH130" s="532"/>
      <c r="CI130" s="560"/>
      <c r="CJ130" s="560"/>
      <c r="CK130" s="560"/>
      <c r="CL130" s="590"/>
      <c r="CM130" s="532"/>
      <c r="CN130" s="532"/>
      <c r="CO130" s="532"/>
      <c r="CP130" s="566"/>
      <c r="CQ130" s="566"/>
      <c r="CR130" s="566"/>
      <c r="CS130" s="566"/>
      <c r="CT130" s="566"/>
      <c r="CU130" s="532"/>
      <c r="CV130" s="532"/>
      <c r="CW130" s="532"/>
      <c r="CX130" s="532"/>
      <c r="CY130" s="532"/>
      <c r="CZ130" s="532"/>
      <c r="DA130" s="532"/>
      <c r="DB130" s="532"/>
      <c r="DC130" s="532"/>
      <c r="DD130" s="532"/>
      <c r="DE130" s="532"/>
      <c r="DF130" s="532"/>
      <c r="DG130" s="532"/>
      <c r="DH130" s="532"/>
      <c r="DI130" s="532"/>
      <c r="DJ130" s="532"/>
      <c r="DK130" s="532"/>
      <c r="DL130" s="560"/>
      <c r="DM130" s="560"/>
      <c r="DN130" s="560"/>
      <c r="DO130" s="560"/>
      <c r="DP130" s="560"/>
      <c r="DQ130" s="560"/>
      <c r="DR130" s="560"/>
      <c r="DS130" s="560"/>
      <c r="DT130" s="560"/>
      <c r="DU130" s="560"/>
      <c r="DV130" s="560"/>
      <c r="DW130" s="560"/>
      <c r="DX130" s="560"/>
      <c r="DY130" s="560"/>
      <c r="DZ130" s="560"/>
      <c r="EA130" s="560"/>
      <c r="EB130" s="560"/>
      <c r="EC130" s="560"/>
      <c r="ED130" s="585"/>
      <c r="EE130" s="585"/>
      <c r="EF130" s="532"/>
      <c r="EG130" s="532"/>
      <c r="EH130" s="532"/>
      <c r="EI130" s="532"/>
      <c r="EJ130" s="532"/>
      <c r="EK130" s="532"/>
      <c r="EL130" s="20"/>
      <c r="EM130" s="20"/>
      <c r="EN130" s="19"/>
      <c r="EO130" s="19"/>
      <c r="EP130" s="20"/>
      <c r="EQ130" s="20"/>
      <c r="ER130" s="20"/>
      <c r="ES130" s="20"/>
      <c r="ET130" s="20"/>
      <c r="EU130" s="20"/>
    </row>
    <row r="131" spans="1:151" ht="15.75" customHeight="1" x14ac:dyDescent="0.2">
      <c r="A131" s="406"/>
      <c r="B131" s="406"/>
      <c r="C131" s="406"/>
      <c r="D131" s="406"/>
      <c r="E131" s="406"/>
      <c r="F131" s="406"/>
      <c r="G131" s="406"/>
      <c r="H131" s="406"/>
      <c r="I131" s="406"/>
      <c r="J131" s="406"/>
      <c r="K131" s="406"/>
      <c r="L131" s="406"/>
      <c r="M131" s="406"/>
      <c r="N131" s="20"/>
      <c r="P131" s="406"/>
      <c r="Q131" s="406"/>
      <c r="R131" s="406"/>
      <c r="S131" s="532"/>
      <c r="T131" s="532"/>
      <c r="U131" s="532"/>
      <c r="V131" s="532"/>
      <c r="W131" s="532"/>
      <c r="X131" s="532"/>
      <c r="Y131" s="532"/>
      <c r="Z131" s="532"/>
      <c r="AA131" s="532"/>
      <c r="AB131" s="532"/>
      <c r="AC131" s="532"/>
      <c r="AD131" s="532"/>
      <c r="AE131" s="532"/>
      <c r="AF131" s="532"/>
      <c r="AG131" s="532"/>
      <c r="AH131" s="532"/>
      <c r="AI131" s="532"/>
      <c r="AJ131" s="532"/>
      <c r="AK131" s="532"/>
      <c r="AL131" s="532"/>
      <c r="AM131" s="532"/>
      <c r="AN131" s="532"/>
      <c r="AO131" s="585"/>
      <c r="AP131" s="585"/>
      <c r="AQ131" s="585"/>
      <c r="AR131" s="585"/>
      <c r="AS131" s="585"/>
      <c r="AT131" s="585"/>
      <c r="AU131" s="585"/>
      <c r="AV131" s="585"/>
      <c r="AW131" s="585"/>
      <c r="AX131" s="585"/>
      <c r="AY131" s="585"/>
      <c r="AZ131" s="585"/>
      <c r="BA131" s="585"/>
      <c r="BB131" s="585"/>
      <c r="BC131" s="585"/>
      <c r="BD131" s="585"/>
      <c r="BE131" s="585"/>
      <c r="BF131" s="585"/>
      <c r="BG131" s="585"/>
      <c r="BH131" s="585"/>
      <c r="BI131" s="585"/>
      <c r="BJ131" s="585"/>
      <c r="BK131" s="585"/>
      <c r="BL131" s="585"/>
      <c r="BM131" s="532"/>
      <c r="BN131" s="532"/>
      <c r="BO131" s="594"/>
      <c r="BP131" s="532"/>
      <c r="BQ131" s="532"/>
      <c r="BR131" s="532"/>
      <c r="BS131" s="532"/>
      <c r="BT131" s="532"/>
      <c r="BU131" s="532"/>
      <c r="BV131" s="532"/>
      <c r="BW131" s="532"/>
      <c r="BX131" s="532"/>
      <c r="BY131" s="532"/>
      <c r="BZ131" s="532"/>
      <c r="CA131" s="560"/>
      <c r="CB131" s="560"/>
      <c r="CC131" s="560"/>
      <c r="CD131" s="590"/>
      <c r="CE131" s="532"/>
      <c r="CF131" s="532"/>
      <c r="CG131" s="566"/>
      <c r="CH131" s="566"/>
      <c r="CI131" s="566"/>
      <c r="CJ131" s="566"/>
      <c r="CK131" s="532"/>
      <c r="CL131" s="532"/>
      <c r="CM131" s="532"/>
      <c r="CN131" s="532"/>
      <c r="CO131" s="532"/>
      <c r="CP131" s="532"/>
      <c r="CQ131" s="532"/>
      <c r="CR131" s="532"/>
      <c r="CS131" s="532"/>
      <c r="CT131" s="532"/>
      <c r="CU131" s="532"/>
      <c r="CV131" s="560"/>
      <c r="CW131" s="560"/>
      <c r="CX131" s="585"/>
      <c r="CY131" s="585"/>
      <c r="CZ131" s="585"/>
      <c r="DA131" s="585"/>
      <c r="DB131" s="585"/>
      <c r="DC131" s="532"/>
      <c r="DD131" s="532"/>
      <c r="DE131" s="532"/>
      <c r="DF131" s="532"/>
      <c r="DG131" s="20"/>
      <c r="DH131" s="20"/>
      <c r="DI131" s="20"/>
      <c r="DJ131" s="20"/>
      <c r="DK131" s="20"/>
      <c r="DL131" s="19"/>
      <c r="DM131" s="19"/>
      <c r="DN131" s="19"/>
      <c r="DO131" s="19"/>
      <c r="DP131" s="19"/>
      <c r="DQ131" s="19"/>
      <c r="DR131" s="19"/>
      <c r="DS131" s="19"/>
      <c r="DT131" s="19"/>
      <c r="DU131" s="19"/>
      <c r="DV131" s="19"/>
      <c r="DW131" s="19"/>
      <c r="DX131" s="19"/>
      <c r="DY131" s="19"/>
      <c r="DZ131" s="19"/>
      <c r="EA131" s="19"/>
      <c r="EB131" s="19"/>
      <c r="EC131" s="19"/>
      <c r="ED131" s="20"/>
      <c r="EE131" s="20"/>
      <c r="EF131" s="20"/>
      <c r="EG131" s="20"/>
      <c r="EH131" s="20"/>
      <c r="EI131" s="20"/>
      <c r="EJ131" s="20"/>
      <c r="EK131" s="20"/>
    </row>
    <row r="132" spans="1:151" ht="15.75" customHeight="1" x14ac:dyDescent="0.2">
      <c r="A132" s="407" t="s">
        <v>549</v>
      </c>
      <c r="B132" s="406"/>
      <c r="C132" s="406"/>
      <c r="D132" s="406"/>
      <c r="E132" s="406"/>
      <c r="F132" s="406"/>
      <c r="G132" s="406"/>
      <c r="H132" s="406"/>
      <c r="I132" s="406"/>
      <c r="J132" s="406"/>
      <c r="K132" s="406"/>
      <c r="L132" s="406"/>
      <c r="M132" s="406"/>
      <c r="N132" s="20"/>
      <c r="P132" s="406"/>
      <c r="Q132" s="406"/>
      <c r="R132" s="406"/>
      <c r="S132" s="532"/>
      <c r="T132" s="532"/>
      <c r="U132" s="532"/>
      <c r="V132" s="532"/>
      <c r="W132" s="532"/>
      <c r="X132" s="532"/>
      <c r="Y132" s="532"/>
      <c r="Z132" s="532"/>
      <c r="AA132" s="532"/>
      <c r="AB132" s="532"/>
      <c r="AC132" s="532"/>
      <c r="AD132" s="532"/>
      <c r="AE132" s="532"/>
      <c r="AF132" s="532"/>
      <c r="AG132" s="532"/>
      <c r="AH132" s="532"/>
      <c r="AI132" s="532"/>
      <c r="AJ132" s="532"/>
      <c r="AK132" s="532"/>
      <c r="AL132" s="532"/>
      <c r="AM132" s="532"/>
      <c r="AN132" s="532"/>
      <c r="AO132" s="585"/>
      <c r="AP132" s="585"/>
      <c r="AQ132" s="585"/>
      <c r="AR132" s="585"/>
      <c r="AS132" s="585"/>
      <c r="AT132" s="585"/>
      <c r="AU132" s="585"/>
      <c r="AV132" s="585"/>
      <c r="AW132" s="585"/>
      <c r="AX132" s="585"/>
      <c r="AY132" s="585"/>
      <c r="AZ132" s="585"/>
      <c r="BA132" s="585"/>
      <c r="BB132" s="585"/>
      <c r="BC132" s="585"/>
      <c r="BD132" s="585"/>
      <c r="BE132" s="585"/>
      <c r="BF132" s="585"/>
      <c r="BG132" s="585"/>
      <c r="BH132" s="585"/>
      <c r="BI132" s="585"/>
      <c r="BJ132" s="585"/>
      <c r="BK132" s="585"/>
      <c r="BL132" s="532"/>
      <c r="BM132" s="532"/>
      <c r="BN132" s="532"/>
      <c r="BO132" s="594"/>
      <c r="BP132" s="532"/>
      <c r="BQ132" s="532"/>
      <c r="BR132" s="532"/>
      <c r="BS132" s="532"/>
      <c r="BT132" s="532"/>
      <c r="BU132" s="532"/>
      <c r="BV132" s="532"/>
      <c r="BW132" s="532"/>
      <c r="BX132" s="532"/>
      <c r="BY132" s="532"/>
      <c r="BZ132" s="560"/>
      <c r="CA132" s="560"/>
      <c r="CB132" s="560"/>
      <c r="CC132" s="590"/>
      <c r="CD132" s="532"/>
      <c r="CE132" s="532"/>
      <c r="CF132" s="566"/>
      <c r="CG132" s="566"/>
      <c r="CH132" s="566"/>
      <c r="CI132" s="566"/>
      <c r="CJ132" s="532"/>
      <c r="CK132" s="532"/>
      <c r="CL132" s="532"/>
      <c r="CM132" s="532"/>
      <c r="CN132" s="532"/>
      <c r="CO132" s="532"/>
      <c r="CP132" s="532"/>
      <c r="CQ132" s="532"/>
      <c r="CR132" s="532"/>
      <c r="CS132" s="532"/>
      <c r="CT132" s="532"/>
      <c r="CU132" s="560"/>
      <c r="CV132" s="560"/>
      <c r="CW132" s="585"/>
      <c r="CX132" s="585"/>
      <c r="CY132" s="532"/>
      <c r="CZ132" s="532"/>
      <c r="DA132" s="532"/>
      <c r="DB132" s="532"/>
      <c r="DC132" s="532"/>
      <c r="DD132" s="532"/>
      <c r="DE132" s="532"/>
      <c r="DF132" s="20"/>
      <c r="DG132" s="20"/>
      <c r="DH132" s="20"/>
      <c r="DI132" s="20"/>
      <c r="DJ132" s="20"/>
      <c r="DK132" s="19"/>
      <c r="DL132" s="19"/>
      <c r="DM132" s="19"/>
      <c r="DN132" s="19"/>
      <c r="DO132" s="19"/>
      <c r="DP132" s="19"/>
      <c r="DQ132" s="19"/>
      <c r="DR132" s="19"/>
      <c r="DS132" s="19"/>
      <c r="DT132" s="19"/>
      <c r="DU132" s="19"/>
      <c r="DV132" s="19"/>
      <c r="DW132" s="19"/>
      <c r="DX132" s="19"/>
      <c r="DY132" s="19"/>
      <c r="DZ132" s="19"/>
      <c r="EA132" s="19"/>
      <c r="EB132" s="19"/>
      <c r="EC132" s="20"/>
      <c r="ED132" s="20"/>
      <c r="EE132" s="20"/>
      <c r="EF132" s="20"/>
      <c r="EG132" s="20"/>
      <c r="EH132" s="20"/>
      <c r="EI132" s="20"/>
      <c r="EJ132" s="20"/>
    </row>
    <row r="133" spans="1:151" ht="11.25" customHeight="1" thickBot="1" x14ac:dyDescent="0.3">
      <c r="A133" s="701"/>
      <c r="B133" s="463"/>
      <c r="C133" s="463"/>
      <c r="D133" s="463"/>
      <c r="E133" s="463"/>
      <c r="F133" s="463"/>
      <c r="G133" s="671"/>
      <c r="H133" s="699"/>
      <c r="I133" s="699"/>
      <c r="J133" s="699"/>
      <c r="K133" s="699"/>
      <c r="L133" s="699"/>
      <c r="M133" s="699"/>
      <c r="N133" s="699"/>
      <c r="O133" s="699" t="s">
        <v>219</v>
      </c>
      <c r="P133" s="699"/>
      <c r="Q133" s="699"/>
      <c r="R133" s="699"/>
      <c r="S133" s="699"/>
      <c r="T133" s="699"/>
      <c r="U133" s="699"/>
      <c r="V133" s="699"/>
      <c r="W133" s="532"/>
      <c r="X133" s="532"/>
      <c r="Y133" s="532"/>
      <c r="Z133" s="532"/>
      <c r="AA133" s="532"/>
      <c r="AB133" s="532"/>
      <c r="AC133" s="532"/>
      <c r="AD133" s="532"/>
      <c r="AE133" s="532"/>
      <c r="AF133" s="532"/>
      <c r="AG133" s="532"/>
      <c r="AH133" s="532"/>
      <c r="AI133" s="532"/>
      <c r="AJ133" s="532"/>
      <c r="AK133" s="532"/>
      <c r="AL133" s="532"/>
      <c r="AM133" s="532"/>
      <c r="AN133" s="532"/>
      <c r="AO133" s="585"/>
      <c r="AP133" s="585"/>
      <c r="AQ133" s="585"/>
      <c r="AR133" s="585"/>
      <c r="AS133" s="585"/>
      <c r="AT133" s="585"/>
      <c r="AU133" s="585"/>
      <c r="AV133" s="585"/>
      <c r="AW133" s="585"/>
      <c r="AX133" s="585"/>
      <c r="AY133" s="585"/>
      <c r="AZ133" s="585"/>
      <c r="BA133" s="585"/>
      <c r="BB133" s="585"/>
      <c r="BC133" s="585"/>
      <c r="BD133" s="585"/>
      <c r="BE133" s="585"/>
      <c r="BF133" s="585"/>
      <c r="BG133" s="585"/>
      <c r="BH133" s="585"/>
      <c r="BI133" s="585"/>
      <c r="BJ133" s="585"/>
      <c r="BK133" s="585"/>
      <c r="BL133" s="532"/>
      <c r="BM133" s="532"/>
      <c r="BN133" s="532"/>
      <c r="BO133" s="594"/>
      <c r="BP133" s="532"/>
      <c r="BQ133" s="532"/>
      <c r="BR133" s="532"/>
      <c r="BS133" s="532"/>
      <c r="BT133" s="532"/>
      <c r="BU133" s="532"/>
      <c r="BV133" s="532"/>
      <c r="BW133" s="532"/>
      <c r="BX133" s="532"/>
      <c r="BY133" s="532"/>
      <c r="BZ133" s="560"/>
      <c r="CA133" s="560"/>
      <c r="CB133" s="560"/>
      <c r="CC133" s="590"/>
      <c r="CD133" s="532"/>
      <c r="CE133" s="532"/>
      <c r="CF133" s="566"/>
      <c r="CG133" s="566"/>
      <c r="CH133" s="566"/>
      <c r="CI133" s="566"/>
      <c r="CJ133" s="532"/>
      <c r="CK133" s="532"/>
      <c r="CL133" s="532"/>
      <c r="CM133" s="532"/>
      <c r="CN133" s="532"/>
      <c r="CO133" s="532"/>
      <c r="CP133" s="532"/>
      <c r="CQ133" s="532"/>
      <c r="CR133" s="532"/>
      <c r="CS133" s="532"/>
      <c r="CT133" s="532"/>
      <c r="CU133" s="560"/>
      <c r="CV133" s="560"/>
      <c r="CW133" s="585"/>
      <c r="CX133" s="585"/>
      <c r="CY133" s="532"/>
      <c r="CZ133" s="532"/>
      <c r="DA133" s="532"/>
      <c r="DB133" s="532"/>
      <c r="DC133" s="532"/>
      <c r="DD133" s="532"/>
      <c r="DE133" s="532"/>
      <c r="DF133" s="20"/>
      <c r="DG133" s="20"/>
      <c r="DH133" s="20"/>
      <c r="DI133" s="20"/>
      <c r="DJ133" s="20"/>
      <c r="DK133" s="19"/>
      <c r="DL133" s="19"/>
      <c r="DM133" s="19"/>
      <c r="DN133" s="19"/>
      <c r="DO133" s="19"/>
      <c r="DP133" s="19"/>
      <c r="DQ133" s="19"/>
      <c r="DR133" s="19"/>
      <c r="DS133" s="19"/>
      <c r="DT133" s="19"/>
      <c r="DU133" s="19"/>
      <c r="DV133" s="19"/>
      <c r="DW133" s="19"/>
      <c r="DX133" s="19"/>
      <c r="DY133" s="19"/>
      <c r="DZ133" s="19"/>
      <c r="EA133" s="19"/>
      <c r="EB133" s="19"/>
      <c r="EC133" s="20"/>
      <c r="ED133" s="20"/>
      <c r="EE133" s="20"/>
      <c r="EF133" s="20"/>
      <c r="EG133" s="20"/>
      <c r="EH133" s="20"/>
      <c r="EI133" s="20"/>
      <c r="EJ133" s="20"/>
    </row>
    <row r="134" spans="1:151" ht="15.75" customHeight="1" x14ac:dyDescent="0.35">
      <c r="A134" s="1405" t="s">
        <v>970</v>
      </c>
      <c r="B134" s="1424"/>
      <c r="C134" s="2106" t="s">
        <v>562</v>
      </c>
      <c r="D134" s="1407" t="s">
        <v>355</v>
      </c>
      <c r="E134" s="1407" t="s">
        <v>356</v>
      </c>
      <c r="F134" s="1407" t="s">
        <v>557</v>
      </c>
      <c r="G134" s="1425" t="s">
        <v>529</v>
      </c>
      <c r="H134" s="1407" t="s">
        <v>530</v>
      </c>
      <c r="I134" s="1409" t="s">
        <v>531</v>
      </c>
      <c r="J134" s="1407" t="s">
        <v>4</v>
      </c>
      <c r="K134" s="2152" t="s">
        <v>532</v>
      </c>
      <c r="L134" s="2153"/>
      <c r="M134" s="1323" t="s">
        <v>1029</v>
      </c>
      <c r="N134" s="4"/>
      <c r="Q134" s="665" t="s">
        <v>534</v>
      </c>
      <c r="R134" s="1032" t="s">
        <v>531</v>
      </c>
      <c r="S134" s="668" t="s">
        <v>221</v>
      </c>
      <c r="T134" s="668" t="s">
        <v>357</v>
      </c>
      <c r="U134" s="668" t="s">
        <v>4</v>
      </c>
      <c r="V134" s="668" t="s">
        <v>532</v>
      </c>
      <c r="W134" s="667" t="s">
        <v>533</v>
      </c>
      <c r="X134" s="1030"/>
      <c r="Y134" s="1030"/>
      <c r="Z134" s="1030"/>
      <c r="AA134" s="1030"/>
      <c r="AB134" s="1030"/>
      <c r="AC134" s="1030"/>
      <c r="AD134" s="1030"/>
      <c r="AE134" s="1030"/>
      <c r="AF134" s="1030"/>
      <c r="AG134" s="1030"/>
      <c r="AH134" s="1030"/>
      <c r="AI134" s="1030"/>
      <c r="AJ134" s="1030"/>
      <c r="AK134" s="1030"/>
      <c r="AL134" s="696" t="s">
        <v>562</v>
      </c>
      <c r="AM134" s="1030"/>
      <c r="AN134" s="1030"/>
      <c r="AO134" s="1030"/>
      <c r="AP134" s="1030"/>
      <c r="AQ134" s="1031" t="s">
        <v>853</v>
      </c>
      <c r="AR134" s="1030"/>
      <c r="AS134" s="1030"/>
      <c r="AT134" s="1030"/>
      <c r="AU134" s="1030"/>
      <c r="AV134" s="650" t="s">
        <v>562</v>
      </c>
      <c r="AW134" s="585" t="s">
        <v>911</v>
      </c>
      <c r="AX134" s="585"/>
      <c r="AY134" s="585"/>
      <c r="AZ134" s="585"/>
      <c r="BA134" s="585"/>
      <c r="BB134" s="585"/>
      <c r="BC134" s="585"/>
      <c r="BD134" s="585"/>
      <c r="BE134" s="585"/>
      <c r="BF134" s="585"/>
      <c r="BG134" s="595" t="s">
        <v>931</v>
      </c>
      <c r="BH134" s="585"/>
      <c r="BI134" s="585"/>
      <c r="BJ134" s="585"/>
      <c r="BK134" s="585"/>
      <c r="BL134" s="585" t="s">
        <v>982</v>
      </c>
      <c r="BM134" s="585" t="s">
        <v>982</v>
      </c>
      <c r="BN134" s="585" t="s">
        <v>982</v>
      </c>
      <c r="BO134" s="532" t="s">
        <v>1009</v>
      </c>
      <c r="BP134" s="532"/>
      <c r="BQ134" s="532"/>
      <c r="BR134" s="532"/>
      <c r="BS134" s="532"/>
      <c r="BT134" s="532"/>
      <c r="BU134" s="532"/>
      <c r="BV134" s="532"/>
      <c r="BW134" s="532"/>
      <c r="BX134" s="532"/>
      <c r="BY134" s="532"/>
      <c r="BZ134" s="560"/>
      <c r="CA134" s="560"/>
      <c r="CB134" s="560"/>
      <c r="CC134" s="590"/>
      <c r="CD134" s="532"/>
      <c r="CE134" s="532"/>
      <c r="CF134" s="566"/>
      <c r="CG134" s="566"/>
      <c r="CH134" s="566"/>
      <c r="CI134" s="566"/>
      <c r="CJ134" s="532"/>
      <c r="CK134" s="532"/>
      <c r="CL134" s="532"/>
      <c r="CM134" s="532"/>
      <c r="CN134" s="532"/>
      <c r="CO134" s="532"/>
      <c r="CP134" s="532"/>
      <c r="CQ134" s="532"/>
      <c r="CR134" s="532"/>
      <c r="CS134" s="532"/>
      <c r="CT134" s="532"/>
      <c r="CU134" s="560"/>
      <c r="CV134" s="560"/>
      <c r="CW134" s="585"/>
      <c r="CX134" s="585"/>
      <c r="CY134" s="532"/>
      <c r="CZ134" s="532"/>
      <c r="DA134" s="532"/>
      <c r="DB134" s="532"/>
      <c r="DC134" s="532"/>
      <c r="DD134" s="532"/>
      <c r="DE134" s="532"/>
      <c r="DF134" s="20"/>
      <c r="DG134" s="20"/>
      <c r="DH134" s="20"/>
      <c r="DI134" s="20"/>
      <c r="DJ134" s="20"/>
      <c r="DK134" s="19"/>
      <c r="DL134" s="19"/>
      <c r="DM134" s="19"/>
      <c r="DN134" s="19"/>
      <c r="DO134" s="19"/>
      <c r="DP134" s="19"/>
      <c r="DQ134" s="19"/>
      <c r="DR134" s="19"/>
      <c r="DS134" s="19"/>
      <c r="DT134" s="19"/>
      <c r="DU134" s="19"/>
      <c r="DV134" s="19"/>
      <c r="DW134" s="19"/>
      <c r="DX134" s="19"/>
      <c r="DY134" s="19"/>
      <c r="DZ134" s="19"/>
      <c r="EA134" s="19"/>
      <c r="EB134" s="19"/>
      <c r="EC134" s="20"/>
      <c r="ED134" s="20"/>
      <c r="EE134" s="20"/>
      <c r="EF134" s="20"/>
      <c r="EG134" s="20"/>
      <c r="EH134" s="20"/>
      <c r="EI134" s="20"/>
      <c r="EJ134" s="20"/>
    </row>
    <row r="135" spans="1:151" ht="15.75" customHeight="1" x14ac:dyDescent="0.35">
      <c r="A135" s="1410" t="s">
        <v>971</v>
      </c>
      <c r="B135" s="1426"/>
      <c r="C135" s="2107"/>
      <c r="D135" s="1412" t="s">
        <v>535</v>
      </c>
      <c r="E135" s="1412"/>
      <c r="F135" s="1412" t="s">
        <v>558</v>
      </c>
      <c r="G135" s="1412" t="s">
        <v>537</v>
      </c>
      <c r="H135" s="1412" t="s">
        <v>538</v>
      </c>
      <c r="I135" s="1415" t="s">
        <v>539</v>
      </c>
      <c r="J135" s="1995" t="s">
        <v>313</v>
      </c>
      <c r="K135" s="1996"/>
      <c r="L135" s="1996"/>
      <c r="M135" s="1997"/>
      <c r="N135" s="4"/>
      <c r="Q135" s="669" t="s">
        <v>540</v>
      </c>
      <c r="R135" s="1033" t="s">
        <v>854</v>
      </c>
      <c r="S135" s="683" t="s">
        <v>541</v>
      </c>
      <c r="T135" s="684"/>
      <c r="U135" s="684"/>
      <c r="V135" s="684"/>
      <c r="W135" s="685"/>
      <c r="X135" s="681"/>
      <c r="Y135" s="681"/>
      <c r="Z135" s="681"/>
      <c r="AA135" s="681"/>
      <c r="AB135" s="681"/>
      <c r="AC135" s="681"/>
      <c r="AD135" s="681"/>
      <c r="AE135" s="681"/>
      <c r="AF135" s="681"/>
      <c r="AG135" s="681"/>
      <c r="AH135" s="681"/>
      <c r="AI135" s="681"/>
      <c r="AJ135" s="681"/>
      <c r="AK135" s="681"/>
      <c r="AL135" s="666" t="s">
        <v>221</v>
      </c>
      <c r="AM135" s="668" t="s">
        <v>357</v>
      </c>
      <c r="AN135" s="668" t="s">
        <v>4</v>
      </c>
      <c r="AO135" s="668" t="s">
        <v>532</v>
      </c>
      <c r="AP135" s="667" t="s">
        <v>533</v>
      </c>
      <c r="AQ135" s="666" t="s">
        <v>221</v>
      </c>
      <c r="AR135" s="668" t="s">
        <v>357</v>
      </c>
      <c r="AS135" s="668" t="s">
        <v>4</v>
      </c>
      <c r="AT135" s="668" t="s">
        <v>532</v>
      </c>
      <c r="AU135" s="667" t="s">
        <v>533</v>
      </c>
      <c r="AW135" s="585" t="s">
        <v>1006</v>
      </c>
      <c r="AX135" s="585"/>
      <c r="AY135" s="585"/>
      <c r="AZ135" s="585"/>
      <c r="BA135" s="585"/>
      <c r="BB135" s="585"/>
      <c r="BC135" s="585"/>
      <c r="BD135" s="585"/>
      <c r="BE135" s="585"/>
      <c r="BF135" s="585"/>
      <c r="BG135" s="585" t="s">
        <v>932</v>
      </c>
      <c r="BH135" s="585" t="s">
        <v>933</v>
      </c>
      <c r="BI135" s="585"/>
      <c r="BJ135" s="585"/>
      <c r="BK135" s="585"/>
      <c r="BL135" s="532" t="s">
        <v>0</v>
      </c>
      <c r="BM135" s="532" t="s">
        <v>13</v>
      </c>
      <c r="BN135" s="532" t="s">
        <v>1008</v>
      </c>
      <c r="BO135" s="532" t="s">
        <v>643</v>
      </c>
      <c r="BP135" s="532"/>
      <c r="BQ135" s="532"/>
      <c r="BR135" s="532"/>
      <c r="BS135" s="532"/>
      <c r="BT135" s="532"/>
      <c r="BU135" s="532"/>
      <c r="BV135" s="532"/>
      <c r="BW135" s="532"/>
      <c r="BX135" s="532"/>
      <c r="BY135" s="532"/>
      <c r="BZ135" s="560"/>
      <c r="CA135" s="560"/>
      <c r="CB135" s="560"/>
      <c r="CC135" s="590"/>
      <c r="CD135" s="532"/>
      <c r="CE135" s="532"/>
      <c r="CF135" s="566"/>
      <c r="CG135" s="566"/>
      <c r="CH135" s="566"/>
      <c r="CI135" s="566"/>
      <c r="CJ135" s="532"/>
      <c r="CK135" s="532"/>
      <c r="CL135" s="532"/>
      <c r="CM135" s="532"/>
      <c r="CN135" s="532"/>
      <c r="CO135" s="532"/>
      <c r="CP135" s="532"/>
      <c r="CQ135" s="532"/>
      <c r="CR135" s="532"/>
      <c r="CS135" s="532"/>
      <c r="CT135" s="532"/>
      <c r="CU135" s="560"/>
      <c r="CV135" s="560"/>
      <c r="CW135" s="585"/>
      <c r="CX135" s="585"/>
      <c r="CY135" s="532"/>
      <c r="CZ135" s="532"/>
      <c r="DA135" s="532"/>
      <c r="DB135" s="532"/>
      <c r="DC135" s="532"/>
      <c r="DD135" s="532"/>
      <c r="DE135" s="532"/>
      <c r="DF135" s="20"/>
      <c r="DG135" s="20"/>
      <c r="DH135" s="20"/>
      <c r="DI135" s="20"/>
      <c r="DJ135" s="20"/>
      <c r="DK135" s="19"/>
      <c r="DL135" s="19"/>
      <c r="DM135" s="19"/>
      <c r="DN135" s="19"/>
      <c r="DO135" s="19"/>
      <c r="DP135" s="19"/>
      <c r="DQ135" s="19"/>
      <c r="DR135" s="19"/>
      <c r="DS135" s="19"/>
      <c r="DT135" s="19"/>
      <c r="DU135" s="19"/>
      <c r="DV135" s="19"/>
      <c r="DW135" s="19"/>
      <c r="DX135" s="19"/>
      <c r="DY135" s="19"/>
      <c r="DZ135" s="19"/>
      <c r="EA135" s="19"/>
      <c r="EB135" s="19"/>
      <c r="EC135" s="20"/>
      <c r="ED135" s="20"/>
      <c r="EE135" s="20"/>
      <c r="EF135" s="20"/>
      <c r="EG135" s="20"/>
      <c r="EH135" s="20"/>
      <c r="EI135" s="20"/>
      <c r="EJ135" s="20"/>
    </row>
    <row r="136" spans="1:151" ht="15.75" customHeight="1" thickBot="1" x14ac:dyDescent="0.25">
      <c r="A136" s="1238" t="s">
        <v>972</v>
      </c>
      <c r="B136" s="1427"/>
      <c r="C136" s="2108"/>
      <c r="D136" s="1417" t="s">
        <v>542</v>
      </c>
      <c r="E136" s="1417" t="s">
        <v>2</v>
      </c>
      <c r="F136" s="1428" t="s">
        <v>559</v>
      </c>
      <c r="G136" s="1417" t="s">
        <v>2</v>
      </c>
      <c r="H136" s="1417" t="s">
        <v>529</v>
      </c>
      <c r="I136" s="1420" t="s">
        <v>2</v>
      </c>
      <c r="J136" s="1986" t="s">
        <v>542</v>
      </c>
      <c r="K136" s="1987"/>
      <c r="L136" s="1987"/>
      <c r="M136" s="1988"/>
      <c r="N136" s="4"/>
      <c r="Q136" s="686" t="s">
        <v>520</v>
      </c>
      <c r="R136" s="1034" t="s">
        <v>539</v>
      </c>
      <c r="S136" s="687"/>
      <c r="T136" s="687"/>
      <c r="U136" s="687"/>
      <c r="V136" s="687"/>
      <c r="W136" s="688"/>
      <c r="X136" s="681"/>
      <c r="Y136" s="681"/>
      <c r="Z136" s="681"/>
      <c r="AA136" s="681"/>
      <c r="AB136" s="681"/>
      <c r="AC136" s="681"/>
      <c r="AD136" s="681"/>
      <c r="AE136" s="681"/>
      <c r="AF136" s="681"/>
      <c r="AG136" s="681"/>
      <c r="AH136" s="681"/>
      <c r="AI136" s="681"/>
      <c r="AJ136" s="681"/>
      <c r="AK136" s="681"/>
      <c r="AL136" s="683" t="s">
        <v>541</v>
      </c>
      <c r="AM136" s="684"/>
      <c r="AN136" s="684"/>
      <c r="AO136" s="684"/>
      <c r="AP136" s="685"/>
      <c r="AQ136" s="683" t="s">
        <v>541</v>
      </c>
      <c r="AR136" s="684"/>
      <c r="AS136" s="684"/>
      <c r="AT136" s="684"/>
      <c r="AU136" s="685"/>
      <c r="AW136" s="585" t="s">
        <v>1007</v>
      </c>
      <c r="AX136" s="585"/>
      <c r="AY136" s="585"/>
      <c r="AZ136" s="585"/>
      <c r="BA136" s="585"/>
      <c r="BB136" s="585"/>
      <c r="BC136" s="585"/>
      <c r="BD136" s="585"/>
      <c r="BE136" s="585"/>
      <c r="BF136" s="585"/>
      <c r="BG136" s="585"/>
      <c r="BH136" s="585"/>
      <c r="BI136" s="585"/>
      <c r="BJ136" s="585"/>
      <c r="BK136" s="585"/>
      <c r="BL136" s="532"/>
      <c r="BM136" s="532"/>
      <c r="BN136" s="532"/>
      <c r="BO136" s="532"/>
      <c r="BP136" s="532"/>
      <c r="BQ136" s="532"/>
      <c r="BR136" s="532"/>
      <c r="BS136" s="532"/>
      <c r="BT136" s="532"/>
      <c r="BU136" s="532"/>
      <c r="BV136" s="532"/>
      <c r="BW136" s="532"/>
      <c r="BX136" s="532"/>
      <c r="BY136" s="532"/>
      <c r="BZ136" s="560"/>
      <c r="CA136" s="560"/>
      <c r="CB136" s="560"/>
      <c r="CC136" s="590"/>
      <c r="CD136" s="532"/>
      <c r="CE136" s="532"/>
      <c r="CF136" s="566"/>
      <c r="CG136" s="566"/>
      <c r="CH136" s="566"/>
      <c r="CI136" s="566"/>
      <c r="CJ136" s="532"/>
      <c r="CK136" s="532"/>
      <c r="CL136" s="532"/>
      <c r="CM136" s="532"/>
      <c r="CN136" s="532"/>
      <c r="CO136" s="532"/>
      <c r="CP136" s="532"/>
      <c r="CQ136" s="532"/>
      <c r="CR136" s="532"/>
      <c r="CS136" s="532"/>
      <c r="CT136" s="532"/>
      <c r="CU136" s="560"/>
      <c r="CV136" s="560"/>
      <c r="CW136" s="585"/>
      <c r="CX136" s="585"/>
      <c r="CY136" s="532"/>
      <c r="CZ136" s="532"/>
      <c r="DA136" s="532"/>
      <c r="DB136" s="532"/>
      <c r="DC136" s="532"/>
      <c r="DD136" s="532"/>
      <c r="DE136" s="532"/>
      <c r="DF136" s="20"/>
      <c r="DG136" s="20"/>
      <c r="DH136" s="20"/>
      <c r="DI136" s="20"/>
      <c r="DJ136" s="20"/>
      <c r="DK136" s="19"/>
      <c r="DL136" s="19"/>
      <c r="DM136" s="19"/>
      <c r="DN136" s="19"/>
      <c r="DO136" s="19"/>
      <c r="DP136" s="19"/>
      <c r="DQ136" s="19"/>
      <c r="DR136" s="19"/>
      <c r="DS136" s="19"/>
      <c r="DT136" s="19"/>
      <c r="DU136" s="19"/>
      <c r="DV136" s="19"/>
      <c r="DW136" s="19"/>
      <c r="DX136" s="19"/>
      <c r="DY136" s="19"/>
      <c r="DZ136" s="19"/>
      <c r="EA136" s="19"/>
      <c r="EB136" s="19"/>
      <c r="EC136" s="20"/>
      <c r="ED136" s="20"/>
      <c r="EE136" s="20"/>
      <c r="EF136" s="20"/>
      <c r="EG136" s="20"/>
      <c r="EH136" s="20"/>
      <c r="EI136" s="20"/>
      <c r="EJ136" s="20"/>
    </row>
    <row r="137" spans="1:151" ht="15.75" customHeight="1" x14ac:dyDescent="0.2">
      <c r="A137" s="2056"/>
      <c r="B137" s="2057"/>
      <c r="C137" s="1241"/>
      <c r="D137" s="1212"/>
      <c r="E137" s="1212"/>
      <c r="F137" s="1200"/>
      <c r="G137" s="1212"/>
      <c r="H137" s="1213"/>
      <c r="I137" s="1212"/>
      <c r="J137" s="1214"/>
      <c r="K137" s="2133"/>
      <c r="L137" s="2134"/>
      <c r="M137" s="1215"/>
      <c r="N137" s="4"/>
      <c r="Q137" s="672">
        <f>+D137*E137/100*G137/100*H137/1000</f>
        <v>0</v>
      </c>
      <c r="R137" s="674">
        <f>+Q137*I137/100</f>
        <v>0</v>
      </c>
      <c r="S137" s="673">
        <f>+D137*E137/100</f>
        <v>0</v>
      </c>
      <c r="T137" s="673">
        <f>+D137-S137</f>
        <v>0</v>
      </c>
      <c r="U137" s="674">
        <f>+J137*$D137/1000</f>
        <v>0</v>
      </c>
      <c r="V137" s="674">
        <f>+K137*$D137/1000</f>
        <v>0</v>
      </c>
      <c r="W137" s="675">
        <f>+M137*$D137/1000</f>
        <v>0</v>
      </c>
      <c r="X137" s="678"/>
      <c r="Y137" s="678">
        <f>+D137*E137/100*G137/100</f>
        <v>0</v>
      </c>
      <c r="Z137" s="676">
        <f>IF(D137=0,0,Y137*H137/D137)</f>
        <v>0</v>
      </c>
      <c r="AA137" s="676">
        <f>D137*Z137*I137/100/22.26*0.01605</f>
        <v>0</v>
      </c>
      <c r="AB137" s="678">
        <f>D137*Z137*(1-I137/100)/22.26*0.04401</f>
        <v>0</v>
      </c>
      <c r="AC137" s="678">
        <f>+AA137+AB137</f>
        <v>0</v>
      </c>
      <c r="AD137" s="521">
        <f>+H137/887*100</f>
        <v>0</v>
      </c>
      <c r="AE137" s="521">
        <f>15.44*AD137/100</f>
        <v>0</v>
      </c>
      <c r="AF137" s="678">
        <f>+AC137-AG137</f>
        <v>0</v>
      </c>
      <c r="AG137" s="678">
        <f>+AC137*AE137/100</f>
        <v>0</v>
      </c>
      <c r="AH137" s="678" t="e">
        <f>+(D137*E137/100-AF137)/(D137-AC137)*100</f>
        <v>#DIV/0!</v>
      </c>
      <c r="AJ137" s="678"/>
      <c r="AK137" s="678"/>
      <c r="AL137" s="678">
        <f t="shared" ref="AL137:AL155" si="141">IF($AV137=TRUE,S137,0)</f>
        <v>0</v>
      </c>
      <c r="AM137" s="678">
        <f t="shared" ref="AM137:AM155" si="142">IF($AV137=TRUE,T137,0)</f>
        <v>0</v>
      </c>
      <c r="AN137" s="678">
        <f t="shared" ref="AN137:AN155" si="143">IF($AV137=TRUE,U137,0)</f>
        <v>0</v>
      </c>
      <c r="AO137" s="678">
        <f t="shared" ref="AO137:AO155" si="144">IF($AV137=TRUE,V137,0)</f>
        <v>0</v>
      </c>
      <c r="AP137" s="678">
        <f t="shared" ref="AP137:AP155" si="145">IF($AV137=TRUE,W137,0)</f>
        <v>0</v>
      </c>
      <c r="AQ137" s="678">
        <f>+S137-AL137</f>
        <v>0</v>
      </c>
      <c r="AR137" s="678">
        <f>+T137-AM137</f>
        <v>0</v>
      </c>
      <c r="AS137" s="678">
        <f>+U137-AN137</f>
        <v>0</v>
      </c>
      <c r="AT137" s="678">
        <f>+V137-AO137</f>
        <v>0</v>
      </c>
      <c r="AU137" s="678">
        <f>+W137-AP137</f>
        <v>0</v>
      </c>
      <c r="AV137" s="1334" t="b">
        <v>1</v>
      </c>
      <c r="AW137" s="532">
        <v>1</v>
      </c>
      <c r="AX137" s="532"/>
      <c r="AY137" s="532"/>
      <c r="AZ137" s="532"/>
      <c r="BA137" s="532"/>
      <c r="BB137" s="532"/>
      <c r="BC137" s="532"/>
      <c r="BD137" s="532"/>
      <c r="BE137" s="585"/>
      <c r="BF137" s="585"/>
      <c r="BG137" s="590">
        <f>IF($AW137&gt;1,AN137,0)</f>
        <v>0</v>
      </c>
      <c r="BH137" s="590">
        <f>IF($AW137&gt;1,AO137,0)</f>
        <v>0</v>
      </c>
      <c r="BI137" s="585">
        <f>IF(AW137=1,100,IF(E137&gt;15,100,40))</f>
        <v>100</v>
      </c>
      <c r="BJ137" s="585">
        <f t="shared" ref="BJ137:BJ155" si="146">+BI137*D137</f>
        <v>0</v>
      </c>
      <c r="BK137" s="585"/>
      <c r="BL137" s="532">
        <f>IF(AW137=4,0.7,IF(AW137=3,0.7,IF(AW137=2,0.6,0.55)))</f>
        <v>0.55000000000000004</v>
      </c>
      <c r="BM137" s="532">
        <f>IF(AW137=4,0.7,IF(AW137=3,0.55,IF(AW137=2,0.55,0.55)))</f>
        <v>0.55000000000000004</v>
      </c>
      <c r="BN137" s="532">
        <f>IF(E137&lt;=15,BL137,BM137)</f>
        <v>0.55000000000000004</v>
      </c>
      <c r="BO137" s="594">
        <f t="shared" ref="BO137:BO155" si="147">+BN137*U137</f>
        <v>0</v>
      </c>
      <c r="BP137" s="532"/>
      <c r="BQ137" s="532"/>
      <c r="BR137" s="532"/>
      <c r="BS137" s="532"/>
      <c r="BT137" s="532"/>
      <c r="BU137" s="532"/>
      <c r="BV137" s="532"/>
      <c r="BW137" s="532"/>
      <c r="BX137" s="532"/>
      <c r="BY137" s="532"/>
      <c r="BZ137" s="560"/>
      <c r="CA137" s="560"/>
      <c r="CB137" s="560"/>
      <c r="CC137" s="590"/>
      <c r="CD137" s="532"/>
      <c r="CE137" s="532"/>
      <c r="CF137" s="566"/>
      <c r="CG137" s="566"/>
      <c r="CH137" s="566"/>
      <c r="CI137" s="566"/>
      <c r="CJ137" s="532"/>
      <c r="CK137" s="532"/>
      <c r="CL137" s="532"/>
      <c r="CM137" s="532"/>
      <c r="CN137" s="532"/>
      <c r="CO137" s="532"/>
      <c r="CP137" s="532"/>
      <c r="CQ137" s="532"/>
      <c r="CR137" s="532"/>
      <c r="CS137" s="532"/>
      <c r="CT137" s="532"/>
      <c r="CU137" s="560"/>
      <c r="CV137" s="560"/>
      <c r="CW137" s="585"/>
      <c r="CX137" s="585"/>
      <c r="CY137" s="532"/>
      <c r="CZ137" s="532"/>
      <c r="DA137" s="532"/>
      <c r="DB137" s="532"/>
      <c r="DC137" s="532"/>
      <c r="DD137" s="532"/>
      <c r="DE137" s="532"/>
      <c r="DF137" s="20"/>
      <c r="DG137" s="20"/>
      <c r="DH137" s="20"/>
      <c r="DI137" s="20"/>
      <c r="DJ137" s="20"/>
      <c r="DK137" s="19"/>
      <c r="DL137" s="19"/>
      <c r="DM137" s="19"/>
      <c r="DN137" s="19"/>
      <c r="DO137" s="19"/>
      <c r="DP137" s="19"/>
      <c r="DQ137" s="19"/>
      <c r="DR137" s="19"/>
      <c r="DS137" s="19"/>
      <c r="DT137" s="19"/>
      <c r="DU137" s="19"/>
      <c r="DV137" s="19"/>
      <c r="DW137" s="19"/>
      <c r="DX137" s="19"/>
      <c r="DY137" s="19"/>
      <c r="DZ137" s="19"/>
      <c r="EA137" s="19"/>
      <c r="EB137" s="19"/>
      <c r="EC137" s="20"/>
      <c r="ED137" s="20"/>
      <c r="EE137" s="20"/>
      <c r="EF137" s="20"/>
      <c r="EG137" s="20"/>
      <c r="EH137" s="20"/>
      <c r="EI137" s="20"/>
      <c r="EJ137" s="20"/>
    </row>
    <row r="138" spans="1:151" ht="15.75" customHeight="1" x14ac:dyDescent="0.2">
      <c r="A138" s="1840"/>
      <c r="B138" s="1841"/>
      <c r="C138" s="1242"/>
      <c r="D138" s="1201"/>
      <c r="E138" s="1201"/>
      <c r="F138" s="1202"/>
      <c r="G138" s="1201"/>
      <c r="H138" s="1203"/>
      <c r="I138" s="1201"/>
      <c r="J138" s="1204"/>
      <c r="K138" s="1916"/>
      <c r="L138" s="1917"/>
      <c r="M138" s="1206"/>
      <c r="N138" s="4"/>
      <c r="Q138" s="672">
        <f t="shared" ref="Q138:Q155" si="148">+D138*E138/100*G138/100*H138/1000</f>
        <v>0</v>
      </c>
      <c r="R138" s="674">
        <f t="shared" ref="R138:R155" si="149">+Q138*I138/100</f>
        <v>0</v>
      </c>
      <c r="S138" s="673">
        <f t="shared" ref="S138:S155" si="150">+D138*E138/100</f>
        <v>0</v>
      </c>
      <c r="T138" s="673">
        <f t="shared" ref="T138:T155" si="151">+D138-S138</f>
        <v>0</v>
      </c>
      <c r="U138" s="674">
        <f t="shared" ref="U138:U155" si="152">+J138*$D138/1000</f>
        <v>0</v>
      </c>
      <c r="V138" s="674">
        <f t="shared" ref="V138:V155" si="153">+K138*$D138/1000</f>
        <v>0</v>
      </c>
      <c r="W138" s="675">
        <f t="shared" ref="W138:W155" si="154">+M138*$D138/1000</f>
        <v>0</v>
      </c>
      <c r="X138" s="678"/>
      <c r="Y138" s="678">
        <f t="shared" ref="Y138:Y155" si="155">+D138*E138/100*G138/100</f>
        <v>0</v>
      </c>
      <c r="Z138" s="676">
        <f t="shared" ref="Z138:Z155" si="156">IF(D138=0,0,Y138*H138/D138)</f>
        <v>0</v>
      </c>
      <c r="AA138" s="676">
        <f t="shared" ref="AA138:AA155" si="157">D138*Z138*I138/100/22.26*0.01605</f>
        <v>0</v>
      </c>
      <c r="AB138" s="678">
        <f t="shared" ref="AB138:AB155" si="158">D138*Z138*(1-I138/100)/22.26*0.04401</f>
        <v>0</v>
      </c>
      <c r="AC138" s="678">
        <f t="shared" ref="AC138:AC155" si="159">+AA138+AB138</f>
        <v>0</v>
      </c>
      <c r="AD138" s="521">
        <f t="shared" ref="AD138:AD155" si="160">+H138/887*100</f>
        <v>0</v>
      </c>
      <c r="AE138" s="521">
        <f t="shared" ref="AE138:AE155" si="161">15.44*AD138/100</f>
        <v>0</v>
      </c>
      <c r="AF138" s="678">
        <f t="shared" ref="AF138:AF155" si="162">+AC138-AG138</f>
        <v>0</v>
      </c>
      <c r="AG138" s="678">
        <f t="shared" ref="AG138:AG155" si="163">+AC138*AE138/100</f>
        <v>0</v>
      </c>
      <c r="AH138" s="678" t="e">
        <f t="shared" ref="AH138:AH155" si="164">+(D138*E138/100-AF138)/(D138-AC138)*100</f>
        <v>#DIV/0!</v>
      </c>
      <c r="AJ138" s="678"/>
      <c r="AK138" s="678"/>
      <c r="AL138" s="678">
        <f t="shared" si="141"/>
        <v>0</v>
      </c>
      <c r="AM138" s="678">
        <f t="shared" si="142"/>
        <v>0</v>
      </c>
      <c r="AN138" s="678">
        <f t="shared" si="143"/>
        <v>0</v>
      </c>
      <c r="AO138" s="678">
        <f t="shared" si="144"/>
        <v>0</v>
      </c>
      <c r="AP138" s="678">
        <f t="shared" si="145"/>
        <v>0</v>
      </c>
      <c r="AQ138" s="678">
        <f t="shared" ref="AQ138:AQ155" si="165">+S138-AL138</f>
        <v>0</v>
      </c>
      <c r="AR138" s="678">
        <f t="shared" ref="AR138:AR155" si="166">+T138-AM138</f>
        <v>0</v>
      </c>
      <c r="AS138" s="678">
        <f t="shared" ref="AS138:AS155" si="167">+U138-AN138</f>
        <v>0</v>
      </c>
      <c r="AT138" s="678">
        <f t="shared" ref="AT138:AT155" si="168">+V138-AO138</f>
        <v>0</v>
      </c>
      <c r="AU138" s="678">
        <f t="shared" ref="AU138:AU155" si="169">+W138-AP138</f>
        <v>0</v>
      </c>
      <c r="AV138" s="1334" t="b">
        <v>1</v>
      </c>
      <c r="AW138" s="532">
        <v>1</v>
      </c>
      <c r="AX138" s="532"/>
      <c r="AY138" s="532"/>
      <c r="AZ138" s="532"/>
      <c r="BA138" s="532"/>
      <c r="BB138" s="532"/>
      <c r="BC138" s="532"/>
      <c r="BD138" s="532"/>
      <c r="BE138" s="585"/>
      <c r="BF138" s="585"/>
      <c r="BG138" s="590">
        <f t="shared" ref="BG138:BG155" si="170">IF($AW138&gt;1,AN138,0)</f>
        <v>0</v>
      </c>
      <c r="BH138" s="590">
        <f t="shared" ref="BH138:BH155" si="171">IF($AW138&gt;1,AO138,0)</f>
        <v>0</v>
      </c>
      <c r="BI138" s="585">
        <f t="shared" ref="BI138:BI155" si="172">IF(AW138=1,100,IF(E138&gt;15,100,40))</f>
        <v>100</v>
      </c>
      <c r="BJ138" s="585">
        <f t="shared" si="146"/>
        <v>0</v>
      </c>
      <c r="BK138" s="585"/>
      <c r="BL138" s="532">
        <f t="shared" ref="BL138:BL155" si="173">IF(AW138=4,0.7,IF(AW138=3,0.7,IF(AW138=2,0.6,0.55)))</f>
        <v>0.55000000000000004</v>
      </c>
      <c r="BM138" s="532">
        <f t="shared" ref="BM138:BM155" si="174">IF(AW138=4,0.7,IF(AW138=3,0.55,IF(AW138=2,0.55,0.55)))</f>
        <v>0.55000000000000004</v>
      </c>
      <c r="BN138" s="532">
        <f t="shared" ref="BN138:BN155" si="175">IF(E138&lt;=15,BL138,BM138)</f>
        <v>0.55000000000000004</v>
      </c>
      <c r="BO138" s="594">
        <f t="shared" si="147"/>
        <v>0</v>
      </c>
      <c r="BP138" s="532"/>
      <c r="BQ138" s="532"/>
      <c r="BR138" s="532"/>
      <c r="BS138" s="532"/>
      <c r="BT138" s="532"/>
      <c r="BU138" s="532"/>
      <c r="BV138" s="532"/>
      <c r="BW138" s="532"/>
      <c r="BX138" s="532"/>
      <c r="BY138" s="532"/>
      <c r="BZ138" s="560"/>
      <c r="CA138" s="560"/>
      <c r="CB138" s="560"/>
      <c r="CC138" s="590"/>
      <c r="CD138" s="532"/>
      <c r="CE138" s="532"/>
      <c r="CF138" s="566"/>
      <c r="CG138" s="566"/>
      <c r="CH138" s="566"/>
      <c r="CI138" s="566"/>
      <c r="CJ138" s="532"/>
      <c r="CK138" s="532"/>
      <c r="CL138" s="532"/>
      <c r="CM138" s="532"/>
      <c r="CN138" s="532"/>
      <c r="CO138" s="532"/>
      <c r="CP138" s="532"/>
      <c r="CQ138" s="532"/>
      <c r="CR138" s="532"/>
      <c r="CS138" s="532"/>
      <c r="CT138" s="532"/>
      <c r="CU138" s="560"/>
      <c r="CV138" s="560"/>
      <c r="CW138" s="585"/>
      <c r="CX138" s="585"/>
      <c r="CY138" s="532"/>
      <c r="CZ138" s="532"/>
      <c r="DA138" s="532"/>
      <c r="DB138" s="532"/>
      <c r="DC138" s="532"/>
      <c r="DD138" s="532"/>
      <c r="DE138" s="532"/>
      <c r="DF138" s="20"/>
      <c r="DG138" s="20"/>
      <c r="DH138" s="20"/>
      <c r="DI138" s="20"/>
      <c r="DJ138" s="20"/>
      <c r="DK138" s="19"/>
      <c r="DL138" s="19"/>
      <c r="DM138" s="19"/>
      <c r="DN138" s="19"/>
      <c r="DO138" s="19"/>
      <c r="DP138" s="19"/>
      <c r="DQ138" s="19"/>
      <c r="DR138" s="19"/>
      <c r="DS138" s="19"/>
      <c r="DT138" s="19"/>
      <c r="DU138" s="19"/>
      <c r="DV138" s="19"/>
      <c r="DW138" s="19"/>
      <c r="DX138" s="19"/>
      <c r="DY138" s="19"/>
      <c r="DZ138" s="19"/>
      <c r="EA138" s="19"/>
      <c r="EB138" s="19"/>
      <c r="EC138" s="20"/>
      <c r="ED138" s="20"/>
      <c r="EE138" s="20"/>
      <c r="EF138" s="20"/>
      <c r="EG138" s="20"/>
      <c r="EH138" s="20"/>
      <c r="EI138" s="20"/>
      <c r="EJ138" s="20"/>
    </row>
    <row r="139" spans="1:151" ht="15.75" customHeight="1" x14ac:dyDescent="0.2">
      <c r="A139" s="1840"/>
      <c r="B139" s="1841"/>
      <c r="C139" s="1242"/>
      <c r="D139" s="1201"/>
      <c r="E139" s="1201"/>
      <c r="F139" s="1202"/>
      <c r="G139" s="1201"/>
      <c r="H139" s="1203"/>
      <c r="I139" s="1201"/>
      <c r="J139" s="1204"/>
      <c r="K139" s="1916"/>
      <c r="L139" s="1917"/>
      <c r="M139" s="1206"/>
      <c r="N139" s="4"/>
      <c r="Q139" s="672">
        <f t="shared" si="148"/>
        <v>0</v>
      </c>
      <c r="R139" s="674">
        <f t="shared" si="149"/>
        <v>0</v>
      </c>
      <c r="S139" s="673">
        <f t="shared" si="150"/>
        <v>0</v>
      </c>
      <c r="T139" s="673">
        <f t="shared" si="151"/>
        <v>0</v>
      </c>
      <c r="U139" s="674">
        <f t="shared" si="152"/>
        <v>0</v>
      </c>
      <c r="V139" s="674">
        <f t="shared" si="153"/>
        <v>0</v>
      </c>
      <c r="W139" s="675">
        <f t="shared" si="154"/>
        <v>0</v>
      </c>
      <c r="X139" s="678"/>
      <c r="Y139" s="678">
        <f t="shared" si="155"/>
        <v>0</v>
      </c>
      <c r="Z139" s="676">
        <f t="shared" si="156"/>
        <v>0</v>
      </c>
      <c r="AA139" s="676">
        <f t="shared" si="157"/>
        <v>0</v>
      </c>
      <c r="AB139" s="678">
        <f t="shared" si="158"/>
        <v>0</v>
      </c>
      <c r="AC139" s="678">
        <f t="shared" si="159"/>
        <v>0</v>
      </c>
      <c r="AD139" s="521">
        <f t="shared" si="160"/>
        <v>0</v>
      </c>
      <c r="AE139" s="521">
        <f t="shared" si="161"/>
        <v>0</v>
      </c>
      <c r="AF139" s="678">
        <f t="shared" si="162"/>
        <v>0</v>
      </c>
      <c r="AG139" s="678">
        <f t="shared" si="163"/>
        <v>0</v>
      </c>
      <c r="AH139" s="678" t="e">
        <f t="shared" si="164"/>
        <v>#DIV/0!</v>
      </c>
      <c r="AJ139" s="678"/>
      <c r="AK139" s="678"/>
      <c r="AL139" s="678">
        <f t="shared" si="141"/>
        <v>0</v>
      </c>
      <c r="AM139" s="678">
        <f t="shared" si="142"/>
        <v>0</v>
      </c>
      <c r="AN139" s="678">
        <f t="shared" si="143"/>
        <v>0</v>
      </c>
      <c r="AO139" s="678">
        <f t="shared" si="144"/>
        <v>0</v>
      </c>
      <c r="AP139" s="678">
        <f t="shared" si="145"/>
        <v>0</v>
      </c>
      <c r="AQ139" s="678">
        <f t="shared" si="165"/>
        <v>0</v>
      </c>
      <c r="AR139" s="678">
        <f t="shared" si="166"/>
        <v>0</v>
      </c>
      <c r="AS139" s="678">
        <f t="shared" si="167"/>
        <v>0</v>
      </c>
      <c r="AT139" s="678">
        <f t="shared" si="168"/>
        <v>0</v>
      </c>
      <c r="AU139" s="678">
        <f t="shared" si="169"/>
        <v>0</v>
      </c>
      <c r="AV139" s="1334" t="b">
        <v>1</v>
      </c>
      <c r="AW139" s="532">
        <v>1</v>
      </c>
      <c r="AX139" s="532"/>
      <c r="AY139" s="532"/>
      <c r="AZ139" s="532"/>
      <c r="BA139" s="532"/>
      <c r="BB139" s="532"/>
      <c r="BC139" s="532"/>
      <c r="BD139" s="532"/>
      <c r="BE139" s="585"/>
      <c r="BF139" s="585"/>
      <c r="BG139" s="590">
        <f t="shared" si="170"/>
        <v>0</v>
      </c>
      <c r="BH139" s="590">
        <f t="shared" si="171"/>
        <v>0</v>
      </c>
      <c r="BI139" s="585">
        <f t="shared" si="172"/>
        <v>100</v>
      </c>
      <c r="BJ139" s="585">
        <f t="shared" si="146"/>
        <v>0</v>
      </c>
      <c r="BK139" s="585"/>
      <c r="BL139" s="532">
        <f t="shared" si="173"/>
        <v>0.55000000000000004</v>
      </c>
      <c r="BM139" s="532">
        <f t="shared" si="174"/>
        <v>0.55000000000000004</v>
      </c>
      <c r="BN139" s="532">
        <f t="shared" si="175"/>
        <v>0.55000000000000004</v>
      </c>
      <c r="BO139" s="594">
        <f t="shared" si="147"/>
        <v>0</v>
      </c>
      <c r="BP139" s="532"/>
      <c r="BQ139" s="532"/>
      <c r="BR139" s="532"/>
      <c r="BS139" s="532"/>
      <c r="BT139" s="532"/>
      <c r="BU139" s="532"/>
      <c r="BV139" s="532"/>
      <c r="BW139" s="532"/>
      <c r="BX139" s="532"/>
      <c r="BY139" s="532"/>
      <c r="BZ139" s="560"/>
      <c r="CA139" s="560"/>
      <c r="CB139" s="560"/>
      <c r="CC139" s="590"/>
      <c r="CD139" s="532"/>
      <c r="CE139" s="532"/>
      <c r="CF139" s="566"/>
      <c r="CG139" s="566"/>
      <c r="CH139" s="566"/>
      <c r="CI139" s="566"/>
      <c r="CJ139" s="532"/>
      <c r="CK139" s="532"/>
      <c r="CL139" s="532"/>
      <c r="CM139" s="532"/>
      <c r="CN139" s="532"/>
      <c r="CO139" s="532"/>
      <c r="CP139" s="532"/>
      <c r="CQ139" s="532"/>
      <c r="CR139" s="532"/>
      <c r="CS139" s="532"/>
      <c r="CT139" s="532"/>
      <c r="CU139" s="560"/>
      <c r="CV139" s="560"/>
      <c r="CW139" s="585"/>
      <c r="CX139" s="585"/>
      <c r="CY139" s="532"/>
      <c r="CZ139" s="532"/>
      <c r="DA139" s="532"/>
      <c r="DB139" s="532"/>
      <c r="DC139" s="532"/>
      <c r="DD139" s="532"/>
      <c r="DE139" s="532"/>
      <c r="DF139" s="20"/>
      <c r="DG139" s="20"/>
      <c r="DH139" s="20"/>
      <c r="DI139" s="20"/>
      <c r="DJ139" s="20"/>
      <c r="DK139" s="19"/>
      <c r="DL139" s="19"/>
      <c r="DM139" s="19"/>
      <c r="DN139" s="19"/>
      <c r="DO139" s="19"/>
      <c r="DP139" s="19"/>
      <c r="DQ139" s="19"/>
      <c r="DR139" s="19"/>
      <c r="DS139" s="19"/>
      <c r="DT139" s="19"/>
      <c r="DU139" s="19"/>
      <c r="DV139" s="19"/>
      <c r="DW139" s="19"/>
      <c r="DX139" s="19"/>
      <c r="DY139" s="19"/>
      <c r="DZ139" s="19"/>
      <c r="EA139" s="19"/>
      <c r="EB139" s="19"/>
      <c r="EC139" s="20"/>
      <c r="ED139" s="20"/>
      <c r="EE139" s="20"/>
      <c r="EF139" s="20"/>
      <c r="EG139" s="20"/>
      <c r="EH139" s="20"/>
      <c r="EI139" s="20"/>
      <c r="EJ139" s="20"/>
    </row>
    <row r="140" spans="1:151" ht="15.75" customHeight="1" x14ac:dyDescent="0.2">
      <c r="A140" s="1840"/>
      <c r="B140" s="1841"/>
      <c r="C140" s="1242"/>
      <c r="D140" s="1201"/>
      <c r="E140" s="1201"/>
      <c r="F140" s="1202"/>
      <c r="G140" s="1201"/>
      <c r="H140" s="1203"/>
      <c r="I140" s="1201"/>
      <c r="J140" s="1204"/>
      <c r="K140" s="1916"/>
      <c r="L140" s="1917"/>
      <c r="M140" s="1206"/>
      <c r="N140" s="4"/>
      <c r="Q140" s="672">
        <f t="shared" si="148"/>
        <v>0</v>
      </c>
      <c r="R140" s="674">
        <f t="shared" si="149"/>
        <v>0</v>
      </c>
      <c r="S140" s="673">
        <f t="shared" si="150"/>
        <v>0</v>
      </c>
      <c r="T140" s="673">
        <f t="shared" si="151"/>
        <v>0</v>
      </c>
      <c r="U140" s="674">
        <f t="shared" si="152"/>
        <v>0</v>
      </c>
      <c r="V140" s="674">
        <f t="shared" si="153"/>
        <v>0</v>
      </c>
      <c r="W140" s="675">
        <f t="shared" si="154"/>
        <v>0</v>
      </c>
      <c r="X140" s="678"/>
      <c r="Y140" s="678">
        <f t="shared" si="155"/>
        <v>0</v>
      </c>
      <c r="Z140" s="676">
        <f t="shared" si="156"/>
        <v>0</v>
      </c>
      <c r="AA140" s="676">
        <f t="shared" si="157"/>
        <v>0</v>
      </c>
      <c r="AB140" s="678">
        <f t="shared" si="158"/>
        <v>0</v>
      </c>
      <c r="AC140" s="678">
        <f t="shared" si="159"/>
        <v>0</v>
      </c>
      <c r="AD140" s="521">
        <f t="shared" si="160"/>
        <v>0</v>
      </c>
      <c r="AE140" s="521">
        <f t="shared" si="161"/>
        <v>0</v>
      </c>
      <c r="AF140" s="678">
        <f t="shared" si="162"/>
        <v>0</v>
      </c>
      <c r="AG140" s="678">
        <f t="shared" si="163"/>
        <v>0</v>
      </c>
      <c r="AH140" s="678" t="e">
        <f t="shared" si="164"/>
        <v>#DIV/0!</v>
      </c>
      <c r="AJ140" s="678"/>
      <c r="AK140" s="678"/>
      <c r="AL140" s="678">
        <f t="shared" si="141"/>
        <v>0</v>
      </c>
      <c r="AM140" s="678">
        <f t="shared" si="142"/>
        <v>0</v>
      </c>
      <c r="AN140" s="678">
        <f t="shared" si="143"/>
        <v>0</v>
      </c>
      <c r="AO140" s="678">
        <f t="shared" si="144"/>
        <v>0</v>
      </c>
      <c r="AP140" s="678">
        <f t="shared" si="145"/>
        <v>0</v>
      </c>
      <c r="AQ140" s="678">
        <f t="shared" si="165"/>
        <v>0</v>
      </c>
      <c r="AR140" s="678">
        <f t="shared" si="166"/>
        <v>0</v>
      </c>
      <c r="AS140" s="678">
        <f t="shared" si="167"/>
        <v>0</v>
      </c>
      <c r="AT140" s="678">
        <f t="shared" si="168"/>
        <v>0</v>
      </c>
      <c r="AU140" s="678">
        <f t="shared" si="169"/>
        <v>0</v>
      </c>
      <c r="AV140" s="1334" t="b">
        <v>1</v>
      </c>
      <c r="AW140" s="532">
        <v>1</v>
      </c>
      <c r="AX140" s="532"/>
      <c r="AY140" s="532"/>
      <c r="AZ140" s="532"/>
      <c r="BA140" s="532"/>
      <c r="BB140" s="532"/>
      <c r="BC140" s="532"/>
      <c r="BD140" s="532"/>
      <c r="BE140" s="585"/>
      <c r="BF140" s="585"/>
      <c r="BG140" s="590">
        <f t="shared" si="170"/>
        <v>0</v>
      </c>
      <c r="BH140" s="590">
        <f t="shared" si="171"/>
        <v>0</v>
      </c>
      <c r="BI140" s="585">
        <f t="shared" si="172"/>
        <v>100</v>
      </c>
      <c r="BJ140" s="585">
        <f t="shared" si="146"/>
        <v>0</v>
      </c>
      <c r="BK140" s="585"/>
      <c r="BL140" s="532">
        <f t="shared" si="173"/>
        <v>0.55000000000000004</v>
      </c>
      <c r="BM140" s="532">
        <f t="shared" si="174"/>
        <v>0.55000000000000004</v>
      </c>
      <c r="BN140" s="532">
        <f t="shared" si="175"/>
        <v>0.55000000000000004</v>
      </c>
      <c r="BO140" s="594">
        <f t="shared" si="147"/>
        <v>0</v>
      </c>
      <c r="BP140" s="532"/>
      <c r="BQ140" s="532"/>
      <c r="BR140" s="532"/>
      <c r="BS140" s="532"/>
      <c r="BT140" s="532"/>
      <c r="BU140" s="532"/>
      <c r="BV140" s="532"/>
      <c r="BW140" s="532"/>
      <c r="BX140" s="532"/>
      <c r="BY140" s="532"/>
      <c r="BZ140" s="560"/>
      <c r="CA140" s="560"/>
      <c r="CB140" s="560"/>
      <c r="CC140" s="590"/>
      <c r="CD140" s="532"/>
      <c r="CE140" s="532"/>
      <c r="CF140" s="566"/>
      <c r="CG140" s="566"/>
      <c r="CH140" s="566"/>
      <c r="CI140" s="566"/>
      <c r="CJ140" s="532"/>
      <c r="CK140" s="532"/>
      <c r="CL140" s="532"/>
      <c r="CM140" s="532"/>
      <c r="CN140" s="532"/>
      <c r="CO140" s="532"/>
      <c r="CP140" s="532"/>
      <c r="CQ140" s="532"/>
      <c r="CR140" s="532"/>
      <c r="CS140" s="532"/>
      <c r="CT140" s="532"/>
      <c r="CU140" s="560"/>
      <c r="CV140" s="560"/>
      <c r="CW140" s="585"/>
      <c r="CX140" s="585"/>
      <c r="CY140" s="532"/>
      <c r="CZ140" s="532"/>
      <c r="DA140" s="532"/>
      <c r="DB140" s="532"/>
      <c r="DC140" s="532"/>
      <c r="DD140" s="532"/>
      <c r="DE140" s="532"/>
      <c r="DF140" s="20"/>
      <c r="DG140" s="20"/>
      <c r="DH140" s="20"/>
      <c r="DI140" s="20"/>
      <c r="DJ140" s="20"/>
      <c r="DK140" s="19"/>
      <c r="DL140" s="19"/>
      <c r="DM140" s="19"/>
      <c r="DN140" s="19"/>
      <c r="DO140" s="19"/>
      <c r="DP140" s="19"/>
      <c r="DQ140" s="19"/>
      <c r="DR140" s="19"/>
      <c r="DS140" s="19"/>
      <c r="DT140" s="19"/>
      <c r="DU140" s="19"/>
      <c r="DV140" s="19"/>
      <c r="DW140" s="19"/>
      <c r="DX140" s="19"/>
      <c r="DY140" s="19"/>
      <c r="DZ140" s="19"/>
      <c r="EA140" s="19"/>
      <c r="EB140" s="19"/>
      <c r="EC140" s="20"/>
      <c r="ED140" s="20"/>
      <c r="EE140" s="20"/>
      <c r="EF140" s="20"/>
      <c r="EG140" s="20"/>
      <c r="EH140" s="20"/>
      <c r="EI140" s="20"/>
      <c r="EJ140" s="20"/>
    </row>
    <row r="141" spans="1:151" ht="15.75" customHeight="1" x14ac:dyDescent="0.2">
      <c r="A141" s="1840"/>
      <c r="B141" s="1841"/>
      <c r="C141" s="1242"/>
      <c r="D141" s="1201"/>
      <c r="E141" s="1201"/>
      <c r="F141" s="1202"/>
      <c r="G141" s="1201"/>
      <c r="H141" s="1203"/>
      <c r="I141" s="1201"/>
      <c r="J141" s="1204"/>
      <c r="K141" s="1916"/>
      <c r="L141" s="1917"/>
      <c r="M141" s="1206"/>
      <c r="N141" s="4"/>
      <c r="Q141" s="672">
        <f t="shared" si="148"/>
        <v>0</v>
      </c>
      <c r="R141" s="674">
        <f t="shared" si="149"/>
        <v>0</v>
      </c>
      <c r="S141" s="673">
        <f t="shared" si="150"/>
        <v>0</v>
      </c>
      <c r="T141" s="673">
        <f t="shared" si="151"/>
        <v>0</v>
      </c>
      <c r="U141" s="674">
        <f t="shared" si="152"/>
        <v>0</v>
      </c>
      <c r="V141" s="674">
        <f t="shared" si="153"/>
        <v>0</v>
      </c>
      <c r="W141" s="675">
        <f t="shared" si="154"/>
        <v>0</v>
      </c>
      <c r="X141" s="678"/>
      <c r="Y141" s="678">
        <f t="shared" si="155"/>
        <v>0</v>
      </c>
      <c r="Z141" s="676">
        <f t="shared" si="156"/>
        <v>0</v>
      </c>
      <c r="AA141" s="676">
        <f t="shared" si="157"/>
        <v>0</v>
      </c>
      <c r="AB141" s="678">
        <f t="shared" si="158"/>
        <v>0</v>
      </c>
      <c r="AC141" s="678">
        <f t="shared" si="159"/>
        <v>0</v>
      </c>
      <c r="AD141" s="521">
        <f t="shared" si="160"/>
        <v>0</v>
      </c>
      <c r="AE141" s="521">
        <f t="shared" si="161"/>
        <v>0</v>
      </c>
      <c r="AF141" s="678">
        <f t="shared" si="162"/>
        <v>0</v>
      </c>
      <c r="AG141" s="678">
        <f t="shared" si="163"/>
        <v>0</v>
      </c>
      <c r="AH141" s="678" t="e">
        <f t="shared" si="164"/>
        <v>#DIV/0!</v>
      </c>
      <c r="AJ141" s="678"/>
      <c r="AK141" s="678"/>
      <c r="AL141" s="678">
        <f t="shared" si="141"/>
        <v>0</v>
      </c>
      <c r="AM141" s="678">
        <f t="shared" si="142"/>
        <v>0</v>
      </c>
      <c r="AN141" s="678">
        <f t="shared" si="143"/>
        <v>0</v>
      </c>
      <c r="AO141" s="678">
        <f t="shared" si="144"/>
        <v>0</v>
      </c>
      <c r="AP141" s="678">
        <f t="shared" si="145"/>
        <v>0</v>
      </c>
      <c r="AQ141" s="678">
        <f t="shared" si="165"/>
        <v>0</v>
      </c>
      <c r="AR141" s="678">
        <f t="shared" si="166"/>
        <v>0</v>
      </c>
      <c r="AS141" s="678">
        <f t="shared" si="167"/>
        <v>0</v>
      </c>
      <c r="AT141" s="678">
        <f t="shared" si="168"/>
        <v>0</v>
      </c>
      <c r="AU141" s="678">
        <f t="shared" si="169"/>
        <v>0</v>
      </c>
      <c r="AV141" s="1334" t="b">
        <v>1</v>
      </c>
      <c r="AW141" s="532">
        <v>1</v>
      </c>
      <c r="AX141" s="532"/>
      <c r="AY141" s="532"/>
      <c r="AZ141" s="532"/>
      <c r="BA141" s="532"/>
      <c r="BB141" s="532"/>
      <c r="BC141" s="532"/>
      <c r="BD141" s="532"/>
      <c r="BE141" s="585"/>
      <c r="BF141" s="585"/>
      <c r="BG141" s="590">
        <f t="shared" si="170"/>
        <v>0</v>
      </c>
      <c r="BH141" s="590">
        <f t="shared" si="171"/>
        <v>0</v>
      </c>
      <c r="BI141" s="585">
        <f t="shared" si="172"/>
        <v>100</v>
      </c>
      <c r="BJ141" s="585">
        <f t="shared" si="146"/>
        <v>0</v>
      </c>
      <c r="BK141" s="585"/>
      <c r="BL141" s="532">
        <f t="shared" si="173"/>
        <v>0.55000000000000004</v>
      </c>
      <c r="BM141" s="532">
        <f t="shared" si="174"/>
        <v>0.55000000000000004</v>
      </c>
      <c r="BN141" s="532">
        <f t="shared" si="175"/>
        <v>0.55000000000000004</v>
      </c>
      <c r="BO141" s="594">
        <f t="shared" si="147"/>
        <v>0</v>
      </c>
      <c r="BP141" s="532"/>
      <c r="BQ141" s="532"/>
      <c r="BR141" s="532"/>
      <c r="BS141" s="532"/>
      <c r="BT141" s="532"/>
      <c r="BU141" s="532"/>
      <c r="BV141" s="532"/>
      <c r="BW141" s="532"/>
      <c r="BX141" s="532"/>
      <c r="BY141" s="532"/>
      <c r="BZ141" s="560"/>
      <c r="CA141" s="560"/>
      <c r="CB141" s="560"/>
      <c r="CC141" s="590"/>
      <c r="CD141" s="532"/>
      <c r="CE141" s="532"/>
      <c r="CF141" s="566"/>
      <c r="CG141" s="566"/>
      <c r="CH141" s="566"/>
      <c r="CI141" s="566"/>
      <c r="CJ141" s="532"/>
      <c r="CK141" s="532"/>
      <c r="CL141" s="532"/>
      <c r="CM141" s="532"/>
      <c r="CN141" s="532"/>
      <c r="CO141" s="532"/>
      <c r="CP141" s="532"/>
      <c r="CQ141" s="532"/>
      <c r="CR141" s="532"/>
      <c r="CS141" s="532"/>
      <c r="CT141" s="532"/>
      <c r="CU141" s="560"/>
      <c r="CV141" s="560"/>
      <c r="CW141" s="585"/>
      <c r="CX141" s="585"/>
      <c r="CY141" s="532"/>
      <c r="CZ141" s="532"/>
      <c r="DA141" s="532"/>
      <c r="DB141" s="532"/>
      <c r="DC141" s="532"/>
      <c r="DD141" s="532"/>
      <c r="DE141" s="532"/>
      <c r="DF141" s="20"/>
      <c r="DG141" s="20"/>
      <c r="DH141" s="20"/>
      <c r="DI141" s="20"/>
      <c r="DJ141" s="20"/>
      <c r="DK141" s="19"/>
      <c r="DL141" s="19"/>
      <c r="DM141" s="19"/>
      <c r="DN141" s="19"/>
      <c r="DO141" s="19"/>
      <c r="DP141" s="19"/>
      <c r="DQ141" s="19"/>
      <c r="DR141" s="19"/>
      <c r="DS141" s="19"/>
      <c r="DT141" s="19"/>
      <c r="DU141" s="19"/>
      <c r="DV141" s="19"/>
      <c r="DW141" s="19"/>
      <c r="DX141" s="19"/>
      <c r="DY141" s="19"/>
      <c r="DZ141" s="19"/>
      <c r="EA141" s="19"/>
      <c r="EB141" s="19"/>
      <c r="EC141" s="20"/>
      <c r="ED141" s="20"/>
      <c r="EE141" s="20"/>
      <c r="EF141" s="20"/>
      <c r="EG141" s="20"/>
      <c r="EH141" s="20"/>
      <c r="EI141" s="20"/>
      <c r="EJ141" s="20"/>
    </row>
    <row r="142" spans="1:151" ht="15.75" customHeight="1" x14ac:dyDescent="0.2">
      <c r="A142" s="1840"/>
      <c r="B142" s="1841"/>
      <c r="C142" s="1242"/>
      <c r="D142" s="1201"/>
      <c r="E142" s="1201"/>
      <c r="F142" s="1202"/>
      <c r="G142" s="1201"/>
      <c r="H142" s="1203"/>
      <c r="I142" s="1201"/>
      <c r="J142" s="1204"/>
      <c r="K142" s="1916"/>
      <c r="L142" s="1917"/>
      <c r="M142" s="1206"/>
      <c r="N142" s="4"/>
      <c r="Q142" s="672">
        <f t="shared" si="148"/>
        <v>0</v>
      </c>
      <c r="R142" s="674">
        <f t="shared" si="149"/>
        <v>0</v>
      </c>
      <c r="S142" s="673">
        <f t="shared" si="150"/>
        <v>0</v>
      </c>
      <c r="T142" s="673">
        <f t="shared" si="151"/>
        <v>0</v>
      </c>
      <c r="U142" s="674">
        <f t="shared" si="152"/>
        <v>0</v>
      </c>
      <c r="V142" s="674">
        <f t="shared" si="153"/>
        <v>0</v>
      </c>
      <c r="W142" s="675">
        <f t="shared" si="154"/>
        <v>0</v>
      </c>
      <c r="X142" s="678"/>
      <c r="Y142" s="678">
        <f t="shared" si="155"/>
        <v>0</v>
      </c>
      <c r="Z142" s="676">
        <f t="shared" si="156"/>
        <v>0</v>
      </c>
      <c r="AA142" s="676">
        <f t="shared" si="157"/>
        <v>0</v>
      </c>
      <c r="AB142" s="678">
        <f t="shared" si="158"/>
        <v>0</v>
      </c>
      <c r="AC142" s="678">
        <f t="shared" si="159"/>
        <v>0</v>
      </c>
      <c r="AD142" s="521">
        <f t="shared" si="160"/>
        <v>0</v>
      </c>
      <c r="AE142" s="521">
        <f t="shared" si="161"/>
        <v>0</v>
      </c>
      <c r="AF142" s="678">
        <f t="shared" si="162"/>
        <v>0</v>
      </c>
      <c r="AG142" s="678">
        <f t="shared" si="163"/>
        <v>0</v>
      </c>
      <c r="AH142" s="678" t="e">
        <f t="shared" si="164"/>
        <v>#DIV/0!</v>
      </c>
      <c r="AJ142" s="678"/>
      <c r="AK142" s="678"/>
      <c r="AL142" s="678">
        <f t="shared" si="141"/>
        <v>0</v>
      </c>
      <c r="AM142" s="678">
        <f t="shared" si="142"/>
        <v>0</v>
      </c>
      <c r="AN142" s="678">
        <f t="shared" si="143"/>
        <v>0</v>
      </c>
      <c r="AO142" s="678">
        <f t="shared" si="144"/>
        <v>0</v>
      </c>
      <c r="AP142" s="678">
        <f t="shared" si="145"/>
        <v>0</v>
      </c>
      <c r="AQ142" s="678">
        <f t="shared" si="165"/>
        <v>0</v>
      </c>
      <c r="AR142" s="678">
        <f t="shared" si="166"/>
        <v>0</v>
      </c>
      <c r="AS142" s="678">
        <f t="shared" si="167"/>
        <v>0</v>
      </c>
      <c r="AT142" s="678">
        <f t="shared" si="168"/>
        <v>0</v>
      </c>
      <c r="AU142" s="678">
        <f t="shared" si="169"/>
        <v>0</v>
      </c>
      <c r="AV142" s="1334" t="b">
        <v>1</v>
      </c>
      <c r="AW142" s="532">
        <v>1</v>
      </c>
      <c r="AX142" s="532"/>
      <c r="AY142" s="532"/>
      <c r="AZ142" s="532"/>
      <c r="BA142" s="532"/>
      <c r="BB142" s="532"/>
      <c r="BC142" s="532"/>
      <c r="BD142" s="532"/>
      <c r="BE142" s="585"/>
      <c r="BF142" s="585"/>
      <c r="BG142" s="590">
        <f t="shared" si="170"/>
        <v>0</v>
      </c>
      <c r="BH142" s="590">
        <f t="shared" si="171"/>
        <v>0</v>
      </c>
      <c r="BI142" s="585">
        <f t="shared" si="172"/>
        <v>100</v>
      </c>
      <c r="BJ142" s="585">
        <f t="shared" si="146"/>
        <v>0</v>
      </c>
      <c r="BK142" s="585"/>
      <c r="BL142" s="532">
        <f t="shared" si="173"/>
        <v>0.55000000000000004</v>
      </c>
      <c r="BM142" s="532">
        <f t="shared" si="174"/>
        <v>0.55000000000000004</v>
      </c>
      <c r="BN142" s="532">
        <f t="shared" si="175"/>
        <v>0.55000000000000004</v>
      </c>
      <c r="BO142" s="594">
        <f t="shared" si="147"/>
        <v>0</v>
      </c>
      <c r="BP142" s="532"/>
      <c r="BQ142" s="532"/>
      <c r="BR142" s="532"/>
      <c r="BS142" s="532"/>
      <c r="BT142" s="532"/>
      <c r="BU142" s="532"/>
      <c r="BV142" s="532"/>
      <c r="BW142" s="532"/>
      <c r="BX142" s="532"/>
      <c r="BY142" s="532"/>
      <c r="BZ142" s="560"/>
      <c r="CA142" s="560"/>
      <c r="CB142" s="560"/>
      <c r="CC142" s="590"/>
      <c r="CD142" s="532"/>
      <c r="CE142" s="532"/>
      <c r="CF142" s="566"/>
      <c r="CG142" s="566"/>
      <c r="CH142" s="566"/>
      <c r="CI142" s="566"/>
      <c r="CJ142" s="532"/>
      <c r="CK142" s="532"/>
      <c r="CL142" s="532"/>
      <c r="CM142" s="532"/>
      <c r="CN142" s="532"/>
      <c r="CO142" s="532"/>
      <c r="CP142" s="532"/>
      <c r="CQ142" s="532"/>
      <c r="CR142" s="532"/>
      <c r="CS142" s="532"/>
      <c r="CT142" s="532"/>
      <c r="CU142" s="560"/>
      <c r="CV142" s="560"/>
      <c r="CW142" s="585"/>
      <c r="CX142" s="585"/>
      <c r="CY142" s="532"/>
      <c r="CZ142" s="532"/>
      <c r="DA142" s="532"/>
      <c r="DB142" s="532"/>
      <c r="DC142" s="532"/>
      <c r="DD142" s="532"/>
      <c r="DE142" s="532"/>
      <c r="DF142" s="20"/>
      <c r="DG142" s="20"/>
      <c r="DH142" s="20"/>
      <c r="DI142" s="20"/>
      <c r="DJ142" s="20"/>
      <c r="DK142" s="19"/>
      <c r="DL142" s="19"/>
      <c r="DM142" s="19"/>
      <c r="DN142" s="19"/>
      <c r="DO142" s="19"/>
      <c r="DP142" s="19"/>
      <c r="DQ142" s="19"/>
      <c r="DR142" s="19"/>
      <c r="DS142" s="19"/>
      <c r="DT142" s="19"/>
      <c r="DU142" s="19"/>
      <c r="DV142" s="19"/>
      <c r="DW142" s="19"/>
      <c r="DX142" s="19"/>
      <c r="DY142" s="19"/>
      <c r="DZ142" s="19"/>
      <c r="EA142" s="19"/>
      <c r="EB142" s="19"/>
      <c r="EC142" s="20"/>
      <c r="ED142" s="20"/>
      <c r="EE142" s="20"/>
      <c r="EF142" s="20"/>
      <c r="EG142" s="20"/>
      <c r="EH142" s="20"/>
      <c r="EI142" s="20"/>
      <c r="EJ142" s="20"/>
    </row>
    <row r="143" spans="1:151" ht="15.75" customHeight="1" x14ac:dyDescent="0.2">
      <c r="A143" s="1840"/>
      <c r="B143" s="1841"/>
      <c r="C143" s="1242"/>
      <c r="D143" s="1201"/>
      <c r="E143" s="1201"/>
      <c r="F143" s="1202"/>
      <c r="G143" s="1201"/>
      <c r="H143" s="1203"/>
      <c r="I143" s="1201"/>
      <c r="J143" s="1204"/>
      <c r="K143" s="1916"/>
      <c r="L143" s="1917"/>
      <c r="M143" s="1206"/>
      <c r="N143" s="4"/>
      <c r="Q143" s="672">
        <f t="shared" si="148"/>
        <v>0</v>
      </c>
      <c r="R143" s="674">
        <f t="shared" si="149"/>
        <v>0</v>
      </c>
      <c r="S143" s="673">
        <f t="shared" si="150"/>
        <v>0</v>
      </c>
      <c r="T143" s="673">
        <f t="shared" si="151"/>
        <v>0</v>
      </c>
      <c r="U143" s="674">
        <f t="shared" si="152"/>
        <v>0</v>
      </c>
      <c r="V143" s="674">
        <f t="shared" si="153"/>
        <v>0</v>
      </c>
      <c r="W143" s="675">
        <f t="shared" si="154"/>
        <v>0</v>
      </c>
      <c r="X143" s="678"/>
      <c r="Y143" s="678">
        <f t="shared" si="155"/>
        <v>0</v>
      </c>
      <c r="Z143" s="676">
        <f t="shared" si="156"/>
        <v>0</v>
      </c>
      <c r="AA143" s="676">
        <f t="shared" si="157"/>
        <v>0</v>
      </c>
      <c r="AB143" s="678">
        <f t="shared" si="158"/>
        <v>0</v>
      </c>
      <c r="AC143" s="678">
        <f t="shared" si="159"/>
        <v>0</v>
      </c>
      <c r="AD143" s="521">
        <f t="shared" si="160"/>
        <v>0</v>
      </c>
      <c r="AE143" s="521">
        <f t="shared" si="161"/>
        <v>0</v>
      </c>
      <c r="AF143" s="678">
        <f t="shared" si="162"/>
        <v>0</v>
      </c>
      <c r="AG143" s="678">
        <f t="shared" si="163"/>
        <v>0</v>
      </c>
      <c r="AH143" s="678" t="e">
        <f t="shared" si="164"/>
        <v>#DIV/0!</v>
      </c>
      <c r="AJ143" s="678"/>
      <c r="AK143" s="678"/>
      <c r="AL143" s="678">
        <f t="shared" si="141"/>
        <v>0</v>
      </c>
      <c r="AM143" s="678">
        <f t="shared" si="142"/>
        <v>0</v>
      </c>
      <c r="AN143" s="678">
        <f t="shared" si="143"/>
        <v>0</v>
      </c>
      <c r="AO143" s="678">
        <f t="shared" si="144"/>
        <v>0</v>
      </c>
      <c r="AP143" s="678">
        <f t="shared" si="145"/>
        <v>0</v>
      </c>
      <c r="AQ143" s="678">
        <f t="shared" si="165"/>
        <v>0</v>
      </c>
      <c r="AR143" s="678">
        <f t="shared" si="166"/>
        <v>0</v>
      </c>
      <c r="AS143" s="678">
        <f t="shared" si="167"/>
        <v>0</v>
      </c>
      <c r="AT143" s="678">
        <f t="shared" si="168"/>
        <v>0</v>
      </c>
      <c r="AU143" s="678">
        <f t="shared" si="169"/>
        <v>0</v>
      </c>
      <c r="AV143" s="1334" t="b">
        <v>1</v>
      </c>
      <c r="AW143" s="532">
        <v>1</v>
      </c>
      <c r="AX143" s="532"/>
      <c r="AY143" s="532"/>
      <c r="AZ143" s="532"/>
      <c r="BA143" s="532"/>
      <c r="BB143" s="532"/>
      <c r="BC143" s="532"/>
      <c r="BD143" s="532"/>
      <c r="BE143" s="585"/>
      <c r="BF143" s="585"/>
      <c r="BG143" s="590">
        <f t="shared" si="170"/>
        <v>0</v>
      </c>
      <c r="BH143" s="590">
        <f t="shared" si="171"/>
        <v>0</v>
      </c>
      <c r="BI143" s="585">
        <f t="shared" si="172"/>
        <v>100</v>
      </c>
      <c r="BJ143" s="585">
        <f t="shared" si="146"/>
        <v>0</v>
      </c>
      <c r="BK143" s="585"/>
      <c r="BL143" s="532">
        <f t="shared" si="173"/>
        <v>0.55000000000000004</v>
      </c>
      <c r="BM143" s="532">
        <f t="shared" si="174"/>
        <v>0.55000000000000004</v>
      </c>
      <c r="BN143" s="532">
        <f t="shared" si="175"/>
        <v>0.55000000000000004</v>
      </c>
      <c r="BO143" s="594">
        <f t="shared" si="147"/>
        <v>0</v>
      </c>
      <c r="BP143" s="532"/>
      <c r="BQ143" s="532"/>
      <c r="BR143" s="532"/>
      <c r="BS143" s="532"/>
      <c r="BT143" s="532"/>
      <c r="BU143" s="532"/>
      <c r="BV143" s="532"/>
      <c r="BW143" s="532"/>
      <c r="BX143" s="532"/>
      <c r="BY143" s="532"/>
      <c r="BZ143" s="560"/>
      <c r="CA143" s="560"/>
      <c r="CB143" s="560"/>
      <c r="CC143" s="590"/>
      <c r="CD143" s="532"/>
      <c r="CE143" s="532"/>
      <c r="CF143" s="566"/>
      <c r="CG143" s="566"/>
      <c r="CH143" s="566"/>
      <c r="CI143" s="566"/>
      <c r="CJ143" s="532"/>
      <c r="CK143" s="532"/>
      <c r="CL143" s="532"/>
      <c r="CM143" s="532"/>
      <c r="CN143" s="532"/>
      <c r="CO143" s="532"/>
      <c r="CP143" s="532"/>
      <c r="CQ143" s="532"/>
      <c r="CR143" s="532"/>
      <c r="CS143" s="532"/>
      <c r="CT143" s="532"/>
      <c r="CU143" s="560"/>
      <c r="CV143" s="560"/>
      <c r="CW143" s="585"/>
      <c r="CX143" s="585"/>
      <c r="CY143" s="532"/>
      <c r="CZ143" s="532"/>
      <c r="DA143" s="532"/>
      <c r="DB143" s="532"/>
      <c r="DC143" s="532"/>
      <c r="DD143" s="532"/>
      <c r="DE143" s="532"/>
      <c r="DF143" s="20"/>
      <c r="DG143" s="20"/>
      <c r="DH143" s="20"/>
      <c r="DI143" s="20"/>
      <c r="DJ143" s="20"/>
      <c r="DK143" s="19"/>
      <c r="DL143" s="19"/>
      <c r="DM143" s="19"/>
      <c r="DN143" s="19"/>
      <c r="DO143" s="19"/>
      <c r="DP143" s="19"/>
      <c r="DQ143" s="19"/>
      <c r="DR143" s="19"/>
      <c r="DS143" s="19"/>
      <c r="DT143" s="19"/>
      <c r="DU143" s="19"/>
      <c r="DV143" s="19"/>
      <c r="DW143" s="19"/>
      <c r="DX143" s="19"/>
      <c r="DY143" s="19"/>
      <c r="DZ143" s="19"/>
      <c r="EA143" s="19"/>
      <c r="EB143" s="19"/>
      <c r="EC143" s="20"/>
      <c r="ED143" s="20"/>
      <c r="EE143" s="20"/>
      <c r="EF143" s="20"/>
      <c r="EG143" s="20"/>
      <c r="EH143" s="20"/>
      <c r="EI143" s="20"/>
      <c r="EJ143" s="20"/>
    </row>
    <row r="144" spans="1:151" ht="15.75" customHeight="1" x14ac:dyDescent="0.2">
      <c r="A144" s="1840"/>
      <c r="B144" s="1841"/>
      <c r="C144" s="1242"/>
      <c r="D144" s="1201"/>
      <c r="E144" s="1201"/>
      <c r="F144" s="1202"/>
      <c r="G144" s="1201"/>
      <c r="H144" s="1203"/>
      <c r="I144" s="1201"/>
      <c r="J144" s="1204"/>
      <c r="K144" s="1916"/>
      <c r="L144" s="1917"/>
      <c r="M144" s="1206"/>
      <c r="N144" s="4"/>
      <c r="Q144" s="672">
        <f t="shared" si="148"/>
        <v>0</v>
      </c>
      <c r="R144" s="674">
        <f t="shared" si="149"/>
        <v>0</v>
      </c>
      <c r="S144" s="673">
        <f t="shared" si="150"/>
        <v>0</v>
      </c>
      <c r="T144" s="673">
        <f t="shared" si="151"/>
        <v>0</v>
      </c>
      <c r="U144" s="674">
        <f t="shared" si="152"/>
        <v>0</v>
      </c>
      <c r="V144" s="674">
        <f t="shared" si="153"/>
        <v>0</v>
      </c>
      <c r="W144" s="675">
        <f t="shared" si="154"/>
        <v>0</v>
      </c>
      <c r="X144" s="678"/>
      <c r="Y144" s="678">
        <f t="shared" si="155"/>
        <v>0</v>
      </c>
      <c r="Z144" s="676">
        <f t="shared" si="156"/>
        <v>0</v>
      </c>
      <c r="AA144" s="676">
        <f t="shared" si="157"/>
        <v>0</v>
      </c>
      <c r="AB144" s="678">
        <f t="shared" si="158"/>
        <v>0</v>
      </c>
      <c r="AC144" s="678">
        <f t="shared" si="159"/>
        <v>0</v>
      </c>
      <c r="AD144" s="521">
        <f t="shared" si="160"/>
        <v>0</v>
      </c>
      <c r="AE144" s="521">
        <f t="shared" si="161"/>
        <v>0</v>
      </c>
      <c r="AF144" s="678">
        <f t="shared" si="162"/>
        <v>0</v>
      </c>
      <c r="AG144" s="678">
        <f t="shared" si="163"/>
        <v>0</v>
      </c>
      <c r="AH144" s="678" t="e">
        <f t="shared" si="164"/>
        <v>#DIV/0!</v>
      </c>
      <c r="AJ144" s="678"/>
      <c r="AK144" s="678"/>
      <c r="AL144" s="678">
        <f t="shared" si="141"/>
        <v>0</v>
      </c>
      <c r="AM144" s="678">
        <f t="shared" si="142"/>
        <v>0</v>
      </c>
      <c r="AN144" s="678">
        <f t="shared" si="143"/>
        <v>0</v>
      </c>
      <c r="AO144" s="678">
        <f t="shared" si="144"/>
        <v>0</v>
      </c>
      <c r="AP144" s="678">
        <f t="shared" si="145"/>
        <v>0</v>
      </c>
      <c r="AQ144" s="678">
        <f t="shared" si="165"/>
        <v>0</v>
      </c>
      <c r="AR144" s="678">
        <f t="shared" si="166"/>
        <v>0</v>
      </c>
      <c r="AS144" s="678">
        <f t="shared" si="167"/>
        <v>0</v>
      </c>
      <c r="AT144" s="678">
        <f t="shared" si="168"/>
        <v>0</v>
      </c>
      <c r="AU144" s="678">
        <f t="shared" si="169"/>
        <v>0</v>
      </c>
      <c r="AV144" s="1334" t="b">
        <v>1</v>
      </c>
      <c r="AW144" s="532">
        <v>1</v>
      </c>
      <c r="AX144" s="532"/>
      <c r="AY144" s="532"/>
      <c r="AZ144" s="532"/>
      <c r="BA144" s="532"/>
      <c r="BB144" s="532"/>
      <c r="BC144" s="532"/>
      <c r="BD144" s="532"/>
      <c r="BE144" s="585"/>
      <c r="BF144" s="585"/>
      <c r="BG144" s="590">
        <f t="shared" si="170"/>
        <v>0</v>
      </c>
      <c r="BH144" s="590">
        <f t="shared" si="171"/>
        <v>0</v>
      </c>
      <c r="BI144" s="585">
        <f t="shared" si="172"/>
        <v>100</v>
      </c>
      <c r="BJ144" s="585">
        <f t="shared" si="146"/>
        <v>0</v>
      </c>
      <c r="BK144" s="585"/>
      <c r="BL144" s="532">
        <f t="shared" si="173"/>
        <v>0.55000000000000004</v>
      </c>
      <c r="BM144" s="532">
        <f t="shared" si="174"/>
        <v>0.55000000000000004</v>
      </c>
      <c r="BN144" s="532">
        <f t="shared" si="175"/>
        <v>0.55000000000000004</v>
      </c>
      <c r="BO144" s="594">
        <f t="shared" si="147"/>
        <v>0</v>
      </c>
      <c r="BP144" s="532"/>
      <c r="BQ144" s="532"/>
      <c r="BR144" s="532"/>
      <c r="BS144" s="532"/>
      <c r="BT144" s="532"/>
      <c r="BU144" s="532"/>
      <c r="BV144" s="532"/>
      <c r="BW144" s="532"/>
      <c r="BX144" s="532"/>
      <c r="BY144" s="532"/>
      <c r="BZ144" s="560"/>
      <c r="CA144" s="560"/>
      <c r="CB144" s="560"/>
      <c r="CC144" s="590"/>
      <c r="CD144" s="532"/>
      <c r="CE144" s="532"/>
      <c r="CF144" s="566"/>
      <c r="CG144" s="566"/>
      <c r="CH144" s="566"/>
      <c r="CI144" s="566"/>
      <c r="CJ144" s="532"/>
      <c r="CK144" s="532"/>
      <c r="CL144" s="532"/>
      <c r="CM144" s="532"/>
      <c r="CN144" s="532"/>
      <c r="CO144" s="532"/>
      <c r="CP144" s="532"/>
      <c r="CQ144" s="532"/>
      <c r="CR144" s="532"/>
      <c r="CS144" s="532"/>
      <c r="CT144" s="532"/>
      <c r="CU144" s="560"/>
      <c r="CV144" s="560"/>
      <c r="CW144" s="585"/>
      <c r="CX144" s="585"/>
      <c r="CY144" s="532"/>
      <c r="CZ144" s="532"/>
      <c r="DA144" s="532"/>
      <c r="DB144" s="532"/>
      <c r="DC144" s="532"/>
      <c r="DD144" s="532"/>
      <c r="DE144" s="532"/>
      <c r="DF144" s="20"/>
      <c r="DG144" s="20"/>
      <c r="DH144" s="20"/>
      <c r="DI144" s="20"/>
      <c r="DJ144" s="20"/>
      <c r="DK144" s="19"/>
      <c r="DL144" s="19"/>
      <c r="DM144" s="19"/>
      <c r="DN144" s="19"/>
      <c r="DO144" s="19"/>
      <c r="DP144" s="19"/>
      <c r="DQ144" s="19"/>
      <c r="DR144" s="19"/>
      <c r="DS144" s="19"/>
      <c r="DT144" s="19"/>
      <c r="DU144" s="19"/>
      <c r="DV144" s="19"/>
      <c r="DW144" s="19"/>
      <c r="DX144" s="19"/>
      <c r="DY144" s="19"/>
      <c r="DZ144" s="19"/>
      <c r="EA144" s="19"/>
      <c r="EB144" s="19"/>
      <c r="EC144" s="20"/>
      <c r="ED144" s="20"/>
      <c r="EE144" s="20"/>
      <c r="EF144" s="20"/>
      <c r="EG144" s="20"/>
      <c r="EH144" s="20"/>
      <c r="EI144" s="20"/>
      <c r="EJ144" s="20"/>
    </row>
    <row r="145" spans="1:140" ht="15.75" customHeight="1" x14ac:dyDescent="0.2">
      <c r="A145" s="1840"/>
      <c r="B145" s="1841"/>
      <c r="C145" s="1242"/>
      <c r="D145" s="1201"/>
      <c r="E145" s="1201"/>
      <c r="F145" s="1202"/>
      <c r="G145" s="1201"/>
      <c r="H145" s="1203"/>
      <c r="I145" s="1201"/>
      <c r="J145" s="1204"/>
      <c r="K145" s="1916"/>
      <c r="L145" s="1917"/>
      <c r="M145" s="1206"/>
      <c r="N145" s="4"/>
      <c r="Q145" s="672">
        <f t="shared" si="148"/>
        <v>0</v>
      </c>
      <c r="R145" s="674">
        <f t="shared" si="149"/>
        <v>0</v>
      </c>
      <c r="S145" s="673">
        <f t="shared" si="150"/>
        <v>0</v>
      </c>
      <c r="T145" s="673">
        <f t="shared" si="151"/>
        <v>0</v>
      </c>
      <c r="U145" s="674">
        <f t="shared" si="152"/>
        <v>0</v>
      </c>
      <c r="V145" s="674">
        <f t="shared" si="153"/>
        <v>0</v>
      </c>
      <c r="W145" s="675">
        <f t="shared" si="154"/>
        <v>0</v>
      </c>
      <c r="X145" s="678"/>
      <c r="Y145" s="678">
        <f t="shared" si="155"/>
        <v>0</v>
      </c>
      <c r="Z145" s="676">
        <f t="shared" si="156"/>
        <v>0</v>
      </c>
      <c r="AA145" s="676">
        <f t="shared" si="157"/>
        <v>0</v>
      </c>
      <c r="AB145" s="678">
        <f t="shared" si="158"/>
        <v>0</v>
      </c>
      <c r="AC145" s="678">
        <f t="shared" si="159"/>
        <v>0</v>
      </c>
      <c r="AD145" s="521">
        <f t="shared" si="160"/>
        <v>0</v>
      </c>
      <c r="AE145" s="521">
        <f t="shared" si="161"/>
        <v>0</v>
      </c>
      <c r="AF145" s="678">
        <f t="shared" si="162"/>
        <v>0</v>
      </c>
      <c r="AG145" s="678">
        <f t="shared" si="163"/>
        <v>0</v>
      </c>
      <c r="AH145" s="678" t="e">
        <f t="shared" si="164"/>
        <v>#DIV/0!</v>
      </c>
      <c r="AJ145" s="678"/>
      <c r="AK145" s="678"/>
      <c r="AL145" s="678">
        <f t="shared" si="141"/>
        <v>0</v>
      </c>
      <c r="AM145" s="678">
        <f t="shared" si="142"/>
        <v>0</v>
      </c>
      <c r="AN145" s="678">
        <f t="shared" si="143"/>
        <v>0</v>
      </c>
      <c r="AO145" s="678">
        <f t="shared" si="144"/>
        <v>0</v>
      </c>
      <c r="AP145" s="678">
        <f t="shared" si="145"/>
        <v>0</v>
      </c>
      <c r="AQ145" s="678">
        <f t="shared" si="165"/>
        <v>0</v>
      </c>
      <c r="AR145" s="678">
        <f t="shared" si="166"/>
        <v>0</v>
      </c>
      <c r="AS145" s="678">
        <f t="shared" si="167"/>
        <v>0</v>
      </c>
      <c r="AT145" s="678">
        <f t="shared" si="168"/>
        <v>0</v>
      </c>
      <c r="AU145" s="678">
        <f t="shared" si="169"/>
        <v>0</v>
      </c>
      <c r="AV145" s="1334" t="b">
        <v>1</v>
      </c>
      <c r="AW145" s="532">
        <v>1</v>
      </c>
      <c r="AX145" s="532"/>
      <c r="AY145" s="532"/>
      <c r="AZ145" s="532"/>
      <c r="BA145" s="532"/>
      <c r="BB145" s="532"/>
      <c r="BC145" s="532"/>
      <c r="BD145" s="532"/>
      <c r="BE145" s="585"/>
      <c r="BF145" s="585"/>
      <c r="BG145" s="590">
        <f t="shared" si="170"/>
        <v>0</v>
      </c>
      <c r="BH145" s="590">
        <f t="shared" si="171"/>
        <v>0</v>
      </c>
      <c r="BI145" s="585">
        <f t="shared" si="172"/>
        <v>100</v>
      </c>
      <c r="BJ145" s="585">
        <f t="shared" si="146"/>
        <v>0</v>
      </c>
      <c r="BK145" s="585"/>
      <c r="BL145" s="532">
        <f t="shared" si="173"/>
        <v>0.55000000000000004</v>
      </c>
      <c r="BM145" s="532">
        <f t="shared" si="174"/>
        <v>0.55000000000000004</v>
      </c>
      <c r="BN145" s="532">
        <f t="shared" si="175"/>
        <v>0.55000000000000004</v>
      </c>
      <c r="BO145" s="594">
        <f t="shared" si="147"/>
        <v>0</v>
      </c>
      <c r="BP145" s="532"/>
      <c r="BQ145" s="532"/>
      <c r="BR145" s="532"/>
      <c r="BS145" s="532"/>
      <c r="BT145" s="532"/>
      <c r="BU145" s="532"/>
      <c r="BV145" s="532"/>
      <c r="BW145" s="532"/>
      <c r="BX145" s="532"/>
      <c r="BY145" s="532"/>
      <c r="BZ145" s="560"/>
      <c r="CA145" s="560"/>
      <c r="CB145" s="560"/>
      <c r="CC145" s="590"/>
      <c r="CD145" s="532"/>
      <c r="CE145" s="532"/>
      <c r="CF145" s="566"/>
      <c r="CG145" s="566"/>
      <c r="CH145" s="566"/>
      <c r="CI145" s="566"/>
      <c r="CJ145" s="532"/>
      <c r="CK145" s="532"/>
      <c r="CL145" s="532"/>
      <c r="CM145" s="532"/>
      <c r="CN145" s="532"/>
      <c r="CO145" s="532"/>
      <c r="CP145" s="532"/>
      <c r="CQ145" s="532"/>
      <c r="CR145" s="532"/>
      <c r="CS145" s="532"/>
      <c r="CT145" s="532"/>
      <c r="CU145" s="560"/>
      <c r="CV145" s="560"/>
      <c r="CW145" s="585"/>
      <c r="CX145" s="585"/>
      <c r="CY145" s="532"/>
      <c r="CZ145" s="532"/>
      <c r="DA145" s="532"/>
      <c r="DB145" s="532"/>
      <c r="DC145" s="532"/>
      <c r="DD145" s="532"/>
      <c r="DE145" s="532"/>
      <c r="DF145" s="20"/>
      <c r="DG145" s="20"/>
      <c r="DH145" s="20"/>
      <c r="DI145" s="20"/>
      <c r="DJ145" s="20"/>
      <c r="DK145" s="19"/>
      <c r="DL145" s="19"/>
      <c r="DM145" s="19"/>
      <c r="DN145" s="19"/>
      <c r="DO145" s="19"/>
      <c r="DP145" s="19"/>
      <c r="DQ145" s="19"/>
      <c r="DR145" s="19"/>
      <c r="DS145" s="19"/>
      <c r="DT145" s="19"/>
      <c r="DU145" s="19"/>
      <c r="DV145" s="19"/>
      <c r="DW145" s="19"/>
      <c r="DX145" s="19"/>
      <c r="DY145" s="19"/>
      <c r="DZ145" s="19"/>
      <c r="EA145" s="19"/>
      <c r="EB145" s="19"/>
      <c r="EC145" s="20"/>
      <c r="ED145" s="20"/>
      <c r="EE145" s="20"/>
      <c r="EF145" s="20"/>
      <c r="EG145" s="20"/>
      <c r="EH145" s="20"/>
      <c r="EI145" s="20"/>
      <c r="EJ145" s="20"/>
    </row>
    <row r="146" spans="1:140" ht="15.75" customHeight="1" x14ac:dyDescent="0.2">
      <c r="A146" s="1840"/>
      <c r="B146" s="1841"/>
      <c r="C146" s="1242"/>
      <c r="D146" s="1201"/>
      <c r="E146" s="1201"/>
      <c r="F146" s="1202"/>
      <c r="G146" s="1201"/>
      <c r="H146" s="1203"/>
      <c r="I146" s="1201"/>
      <c r="J146" s="1204"/>
      <c r="K146" s="1916"/>
      <c r="L146" s="1917"/>
      <c r="M146" s="1206"/>
      <c r="N146" s="4"/>
      <c r="Q146" s="672">
        <f t="shared" si="148"/>
        <v>0</v>
      </c>
      <c r="R146" s="674">
        <f t="shared" si="149"/>
        <v>0</v>
      </c>
      <c r="S146" s="673">
        <f t="shared" si="150"/>
        <v>0</v>
      </c>
      <c r="T146" s="673">
        <f t="shared" si="151"/>
        <v>0</v>
      </c>
      <c r="U146" s="674">
        <f t="shared" si="152"/>
        <v>0</v>
      </c>
      <c r="V146" s="674">
        <f t="shared" si="153"/>
        <v>0</v>
      </c>
      <c r="W146" s="675">
        <f t="shared" si="154"/>
        <v>0</v>
      </c>
      <c r="X146" s="678"/>
      <c r="Y146" s="678">
        <f t="shared" si="155"/>
        <v>0</v>
      </c>
      <c r="Z146" s="676">
        <f t="shared" si="156"/>
        <v>0</v>
      </c>
      <c r="AA146" s="676">
        <f t="shared" si="157"/>
        <v>0</v>
      </c>
      <c r="AB146" s="678">
        <f t="shared" si="158"/>
        <v>0</v>
      </c>
      <c r="AC146" s="678">
        <f t="shared" si="159"/>
        <v>0</v>
      </c>
      <c r="AD146" s="521">
        <f t="shared" si="160"/>
        <v>0</v>
      </c>
      <c r="AE146" s="521">
        <f t="shared" si="161"/>
        <v>0</v>
      </c>
      <c r="AF146" s="678">
        <f t="shared" si="162"/>
        <v>0</v>
      </c>
      <c r="AG146" s="678">
        <f t="shared" si="163"/>
        <v>0</v>
      </c>
      <c r="AH146" s="678" t="e">
        <f t="shared" si="164"/>
        <v>#DIV/0!</v>
      </c>
      <c r="AJ146" s="678"/>
      <c r="AK146" s="678"/>
      <c r="AL146" s="678">
        <f t="shared" si="141"/>
        <v>0</v>
      </c>
      <c r="AM146" s="678">
        <f t="shared" si="142"/>
        <v>0</v>
      </c>
      <c r="AN146" s="678">
        <f t="shared" si="143"/>
        <v>0</v>
      </c>
      <c r="AO146" s="678">
        <f t="shared" si="144"/>
        <v>0</v>
      </c>
      <c r="AP146" s="678">
        <f t="shared" si="145"/>
        <v>0</v>
      </c>
      <c r="AQ146" s="678">
        <f t="shared" si="165"/>
        <v>0</v>
      </c>
      <c r="AR146" s="678">
        <f t="shared" si="166"/>
        <v>0</v>
      </c>
      <c r="AS146" s="678">
        <f t="shared" si="167"/>
        <v>0</v>
      </c>
      <c r="AT146" s="678">
        <f t="shared" si="168"/>
        <v>0</v>
      </c>
      <c r="AU146" s="678">
        <f t="shared" si="169"/>
        <v>0</v>
      </c>
      <c r="AV146" s="1334" t="b">
        <v>1</v>
      </c>
      <c r="AW146" s="532">
        <v>1</v>
      </c>
      <c r="AX146" s="532"/>
      <c r="AY146" s="532"/>
      <c r="AZ146" s="532"/>
      <c r="BA146" s="532"/>
      <c r="BB146" s="532"/>
      <c r="BC146" s="532"/>
      <c r="BD146" s="532"/>
      <c r="BE146" s="585"/>
      <c r="BF146" s="585"/>
      <c r="BG146" s="590">
        <f t="shared" si="170"/>
        <v>0</v>
      </c>
      <c r="BH146" s="590">
        <f t="shared" si="171"/>
        <v>0</v>
      </c>
      <c r="BI146" s="585">
        <f t="shared" si="172"/>
        <v>100</v>
      </c>
      <c r="BJ146" s="585">
        <f t="shared" si="146"/>
        <v>0</v>
      </c>
      <c r="BK146" s="585"/>
      <c r="BL146" s="532">
        <f t="shared" si="173"/>
        <v>0.55000000000000004</v>
      </c>
      <c r="BM146" s="532">
        <f t="shared" si="174"/>
        <v>0.55000000000000004</v>
      </c>
      <c r="BN146" s="532">
        <f t="shared" si="175"/>
        <v>0.55000000000000004</v>
      </c>
      <c r="BO146" s="594">
        <f t="shared" si="147"/>
        <v>0</v>
      </c>
      <c r="BP146" s="532"/>
      <c r="BQ146" s="532"/>
      <c r="BR146" s="532"/>
      <c r="BS146" s="532"/>
      <c r="BT146" s="532"/>
      <c r="BU146" s="532"/>
      <c r="BV146" s="532"/>
      <c r="BW146" s="532"/>
      <c r="BX146" s="532"/>
      <c r="BY146" s="532"/>
      <c r="BZ146" s="560"/>
      <c r="CA146" s="560"/>
      <c r="CB146" s="560"/>
      <c r="CC146" s="590"/>
      <c r="CD146" s="532"/>
      <c r="CE146" s="532"/>
      <c r="CF146" s="566"/>
      <c r="CG146" s="566"/>
      <c r="CH146" s="566"/>
      <c r="CI146" s="566"/>
      <c r="CJ146" s="532"/>
      <c r="CK146" s="532"/>
      <c r="CL146" s="532"/>
      <c r="CM146" s="532"/>
      <c r="CN146" s="532"/>
      <c r="CO146" s="532"/>
      <c r="CP146" s="532"/>
      <c r="CQ146" s="532"/>
      <c r="CR146" s="532"/>
      <c r="CS146" s="532"/>
      <c r="CT146" s="532"/>
      <c r="CU146" s="560"/>
      <c r="CV146" s="560"/>
      <c r="CW146" s="585"/>
      <c r="CX146" s="585"/>
      <c r="CY146" s="532"/>
      <c r="CZ146" s="532"/>
      <c r="DA146" s="532"/>
      <c r="DB146" s="532"/>
      <c r="DC146" s="532"/>
      <c r="DD146" s="532"/>
      <c r="DE146" s="532"/>
      <c r="DF146" s="20"/>
      <c r="DG146" s="20"/>
      <c r="DH146" s="20"/>
      <c r="DI146" s="20"/>
      <c r="DJ146" s="20"/>
      <c r="DK146" s="19"/>
      <c r="DL146" s="19"/>
      <c r="DM146" s="19"/>
      <c r="DN146" s="19"/>
      <c r="DO146" s="19"/>
      <c r="DP146" s="19"/>
      <c r="DQ146" s="19"/>
      <c r="DR146" s="19"/>
      <c r="DS146" s="19"/>
      <c r="DT146" s="19"/>
      <c r="DU146" s="19"/>
      <c r="DV146" s="19"/>
      <c r="DW146" s="19"/>
      <c r="DX146" s="19"/>
      <c r="DY146" s="19"/>
      <c r="DZ146" s="19"/>
      <c r="EA146" s="19"/>
      <c r="EB146" s="19"/>
      <c r="EC146" s="20"/>
      <c r="ED146" s="20"/>
      <c r="EE146" s="20"/>
      <c r="EF146" s="20"/>
      <c r="EG146" s="20"/>
      <c r="EH146" s="20"/>
      <c r="EI146" s="20"/>
      <c r="EJ146" s="20"/>
    </row>
    <row r="147" spans="1:140" ht="15.75" customHeight="1" x14ac:dyDescent="0.2">
      <c r="A147" s="1840"/>
      <c r="B147" s="1841"/>
      <c r="C147" s="1242"/>
      <c r="D147" s="1201"/>
      <c r="E147" s="1201"/>
      <c r="F147" s="1202"/>
      <c r="G147" s="1201"/>
      <c r="H147" s="1203"/>
      <c r="I147" s="1201"/>
      <c r="J147" s="1204"/>
      <c r="K147" s="1916"/>
      <c r="L147" s="1917"/>
      <c r="M147" s="1206"/>
      <c r="N147" s="4"/>
      <c r="Q147" s="672">
        <f t="shared" si="148"/>
        <v>0</v>
      </c>
      <c r="R147" s="674">
        <f t="shared" si="149"/>
        <v>0</v>
      </c>
      <c r="S147" s="673">
        <f t="shared" si="150"/>
        <v>0</v>
      </c>
      <c r="T147" s="673">
        <f t="shared" si="151"/>
        <v>0</v>
      </c>
      <c r="U147" s="674">
        <f t="shared" si="152"/>
        <v>0</v>
      </c>
      <c r="V147" s="674">
        <f t="shared" si="153"/>
        <v>0</v>
      </c>
      <c r="W147" s="675">
        <f t="shared" si="154"/>
        <v>0</v>
      </c>
      <c r="X147" s="678"/>
      <c r="Y147" s="678">
        <f t="shared" si="155"/>
        <v>0</v>
      </c>
      <c r="Z147" s="676">
        <f t="shared" si="156"/>
        <v>0</v>
      </c>
      <c r="AA147" s="676">
        <f t="shared" si="157"/>
        <v>0</v>
      </c>
      <c r="AB147" s="678">
        <f t="shared" si="158"/>
        <v>0</v>
      </c>
      <c r="AC147" s="678">
        <f t="shared" si="159"/>
        <v>0</v>
      </c>
      <c r="AD147" s="521">
        <f t="shared" si="160"/>
        <v>0</v>
      </c>
      <c r="AE147" s="521">
        <f t="shared" si="161"/>
        <v>0</v>
      </c>
      <c r="AF147" s="678">
        <f t="shared" si="162"/>
        <v>0</v>
      </c>
      <c r="AG147" s="678">
        <f t="shared" si="163"/>
        <v>0</v>
      </c>
      <c r="AH147" s="678" t="e">
        <f t="shared" si="164"/>
        <v>#DIV/0!</v>
      </c>
      <c r="AJ147" s="678"/>
      <c r="AK147" s="678"/>
      <c r="AL147" s="678">
        <f t="shared" si="141"/>
        <v>0</v>
      </c>
      <c r="AM147" s="678">
        <f t="shared" si="142"/>
        <v>0</v>
      </c>
      <c r="AN147" s="678">
        <f t="shared" si="143"/>
        <v>0</v>
      </c>
      <c r="AO147" s="678">
        <f t="shared" si="144"/>
        <v>0</v>
      </c>
      <c r="AP147" s="678">
        <f t="shared" si="145"/>
        <v>0</v>
      </c>
      <c r="AQ147" s="678">
        <f t="shared" si="165"/>
        <v>0</v>
      </c>
      <c r="AR147" s="678">
        <f t="shared" si="166"/>
        <v>0</v>
      </c>
      <c r="AS147" s="678">
        <f t="shared" si="167"/>
        <v>0</v>
      </c>
      <c r="AT147" s="678">
        <f t="shared" si="168"/>
        <v>0</v>
      </c>
      <c r="AU147" s="678">
        <f t="shared" si="169"/>
        <v>0</v>
      </c>
      <c r="AV147" s="1334" t="b">
        <v>1</v>
      </c>
      <c r="AW147" s="532">
        <v>1</v>
      </c>
      <c r="AX147" s="532"/>
      <c r="AY147" s="532"/>
      <c r="AZ147" s="532"/>
      <c r="BA147" s="532"/>
      <c r="BB147" s="532"/>
      <c r="BC147" s="532"/>
      <c r="BD147" s="532"/>
      <c r="BE147" s="585"/>
      <c r="BF147" s="585"/>
      <c r="BG147" s="590">
        <f t="shared" si="170"/>
        <v>0</v>
      </c>
      <c r="BH147" s="590">
        <f t="shared" si="171"/>
        <v>0</v>
      </c>
      <c r="BI147" s="585">
        <f t="shared" si="172"/>
        <v>100</v>
      </c>
      <c r="BJ147" s="585">
        <f t="shared" si="146"/>
        <v>0</v>
      </c>
      <c r="BK147" s="585"/>
      <c r="BL147" s="532">
        <f t="shared" si="173"/>
        <v>0.55000000000000004</v>
      </c>
      <c r="BM147" s="532">
        <f t="shared" si="174"/>
        <v>0.55000000000000004</v>
      </c>
      <c r="BN147" s="532">
        <f t="shared" si="175"/>
        <v>0.55000000000000004</v>
      </c>
      <c r="BO147" s="594">
        <f t="shared" si="147"/>
        <v>0</v>
      </c>
      <c r="BP147" s="532"/>
      <c r="BQ147" s="532"/>
      <c r="BR147" s="532"/>
      <c r="BS147" s="532"/>
      <c r="BT147" s="532"/>
      <c r="BU147" s="532"/>
      <c r="BV147" s="532"/>
      <c r="BW147" s="532"/>
      <c r="BX147" s="532"/>
      <c r="BY147" s="532"/>
      <c r="BZ147" s="560"/>
      <c r="CA147" s="560"/>
      <c r="CB147" s="560"/>
      <c r="CC147" s="590"/>
      <c r="CD147" s="532"/>
      <c r="CE147" s="532"/>
      <c r="CF147" s="566"/>
      <c r="CG147" s="566"/>
      <c r="CH147" s="566"/>
      <c r="CI147" s="566"/>
      <c r="CJ147" s="532"/>
      <c r="CK147" s="532"/>
      <c r="CL147" s="532"/>
      <c r="CM147" s="532"/>
      <c r="CN147" s="532"/>
      <c r="CO147" s="532"/>
      <c r="CP147" s="532"/>
      <c r="CQ147" s="532"/>
      <c r="CR147" s="532"/>
      <c r="CS147" s="532"/>
      <c r="CT147" s="532"/>
      <c r="CU147" s="560"/>
      <c r="CV147" s="560"/>
      <c r="CW147" s="585"/>
      <c r="CX147" s="585"/>
      <c r="CY147" s="532"/>
      <c r="CZ147" s="532"/>
      <c r="DA147" s="532"/>
      <c r="DB147" s="532"/>
      <c r="DC147" s="532"/>
      <c r="DD147" s="532"/>
      <c r="DE147" s="532"/>
      <c r="DF147" s="20"/>
      <c r="DG147" s="20"/>
      <c r="DH147" s="20"/>
      <c r="DI147" s="20"/>
      <c r="DJ147" s="20"/>
      <c r="DK147" s="19"/>
      <c r="DL147" s="19"/>
      <c r="DM147" s="19"/>
      <c r="DN147" s="19"/>
      <c r="DO147" s="19"/>
      <c r="DP147" s="19"/>
      <c r="DQ147" s="19"/>
      <c r="DR147" s="19"/>
      <c r="DS147" s="19"/>
      <c r="DT147" s="19"/>
      <c r="DU147" s="19"/>
      <c r="DV147" s="19"/>
      <c r="DW147" s="19"/>
      <c r="DX147" s="19"/>
      <c r="DY147" s="19"/>
      <c r="DZ147" s="19"/>
      <c r="EA147" s="19"/>
      <c r="EB147" s="19"/>
      <c r="EC147" s="20"/>
      <c r="ED147" s="20"/>
      <c r="EE147" s="20"/>
      <c r="EF147" s="20"/>
      <c r="EG147" s="20"/>
      <c r="EH147" s="20"/>
      <c r="EI147" s="20"/>
      <c r="EJ147" s="20"/>
    </row>
    <row r="148" spans="1:140" ht="15.75" customHeight="1" x14ac:dyDescent="0.2">
      <c r="A148" s="1840"/>
      <c r="B148" s="1841"/>
      <c r="C148" s="1242"/>
      <c r="D148" s="1201"/>
      <c r="E148" s="1201"/>
      <c r="F148" s="1202"/>
      <c r="G148" s="1201"/>
      <c r="H148" s="1203"/>
      <c r="I148" s="1201"/>
      <c r="J148" s="1204"/>
      <c r="K148" s="1916"/>
      <c r="L148" s="1917"/>
      <c r="M148" s="1206"/>
      <c r="N148" s="4"/>
      <c r="Q148" s="672">
        <f t="shared" si="148"/>
        <v>0</v>
      </c>
      <c r="R148" s="674">
        <f t="shared" si="149"/>
        <v>0</v>
      </c>
      <c r="S148" s="673">
        <f t="shared" si="150"/>
        <v>0</v>
      </c>
      <c r="T148" s="673">
        <f t="shared" si="151"/>
        <v>0</v>
      </c>
      <c r="U148" s="674">
        <f t="shared" si="152"/>
        <v>0</v>
      </c>
      <c r="V148" s="674">
        <f t="shared" si="153"/>
        <v>0</v>
      </c>
      <c r="W148" s="675">
        <f t="shared" si="154"/>
        <v>0</v>
      </c>
      <c r="X148" s="678"/>
      <c r="Y148" s="678">
        <f t="shared" si="155"/>
        <v>0</v>
      </c>
      <c r="Z148" s="676">
        <f t="shared" si="156"/>
        <v>0</v>
      </c>
      <c r="AA148" s="676">
        <f t="shared" si="157"/>
        <v>0</v>
      </c>
      <c r="AB148" s="678">
        <f t="shared" si="158"/>
        <v>0</v>
      </c>
      <c r="AC148" s="678">
        <f t="shared" si="159"/>
        <v>0</v>
      </c>
      <c r="AD148" s="521">
        <f t="shared" si="160"/>
        <v>0</v>
      </c>
      <c r="AE148" s="521">
        <f t="shared" si="161"/>
        <v>0</v>
      </c>
      <c r="AF148" s="678">
        <f t="shared" si="162"/>
        <v>0</v>
      </c>
      <c r="AG148" s="678">
        <f t="shared" si="163"/>
        <v>0</v>
      </c>
      <c r="AH148" s="678" t="e">
        <f t="shared" si="164"/>
        <v>#DIV/0!</v>
      </c>
      <c r="AJ148" s="678"/>
      <c r="AK148" s="678"/>
      <c r="AL148" s="678">
        <f t="shared" si="141"/>
        <v>0</v>
      </c>
      <c r="AM148" s="678">
        <f t="shared" si="142"/>
        <v>0</v>
      </c>
      <c r="AN148" s="678">
        <f t="shared" si="143"/>
        <v>0</v>
      </c>
      <c r="AO148" s="678">
        <f t="shared" si="144"/>
        <v>0</v>
      </c>
      <c r="AP148" s="678">
        <f t="shared" si="145"/>
        <v>0</v>
      </c>
      <c r="AQ148" s="678">
        <f t="shared" si="165"/>
        <v>0</v>
      </c>
      <c r="AR148" s="678">
        <f t="shared" si="166"/>
        <v>0</v>
      </c>
      <c r="AS148" s="678">
        <f t="shared" si="167"/>
        <v>0</v>
      </c>
      <c r="AT148" s="678">
        <f t="shared" si="168"/>
        <v>0</v>
      </c>
      <c r="AU148" s="678">
        <f t="shared" si="169"/>
        <v>0</v>
      </c>
      <c r="AV148" s="1334" t="b">
        <v>1</v>
      </c>
      <c r="AW148" s="532">
        <v>1</v>
      </c>
      <c r="AX148" s="532"/>
      <c r="AY148" s="532"/>
      <c r="AZ148" s="532"/>
      <c r="BA148" s="532"/>
      <c r="BB148" s="532"/>
      <c r="BC148" s="532"/>
      <c r="BD148" s="532"/>
      <c r="BE148" s="585"/>
      <c r="BF148" s="585"/>
      <c r="BG148" s="590">
        <f t="shared" si="170"/>
        <v>0</v>
      </c>
      <c r="BH148" s="590">
        <f t="shared" si="171"/>
        <v>0</v>
      </c>
      <c r="BI148" s="585">
        <f t="shared" si="172"/>
        <v>100</v>
      </c>
      <c r="BJ148" s="585">
        <f t="shared" si="146"/>
        <v>0</v>
      </c>
      <c r="BK148" s="585"/>
      <c r="BL148" s="532">
        <f t="shared" si="173"/>
        <v>0.55000000000000004</v>
      </c>
      <c r="BM148" s="532">
        <f t="shared" si="174"/>
        <v>0.55000000000000004</v>
      </c>
      <c r="BN148" s="532">
        <f t="shared" si="175"/>
        <v>0.55000000000000004</v>
      </c>
      <c r="BO148" s="594">
        <f t="shared" si="147"/>
        <v>0</v>
      </c>
      <c r="BP148" s="532"/>
      <c r="BQ148" s="532"/>
      <c r="BR148" s="532"/>
      <c r="BS148" s="532"/>
      <c r="BT148" s="532"/>
      <c r="BU148" s="532"/>
      <c r="BV148" s="532"/>
      <c r="BW148" s="532"/>
      <c r="BX148" s="532"/>
      <c r="BY148" s="532"/>
      <c r="BZ148" s="560"/>
      <c r="CA148" s="560"/>
      <c r="CB148" s="560"/>
      <c r="CC148" s="590"/>
      <c r="CD148" s="532"/>
      <c r="CE148" s="532"/>
      <c r="CF148" s="566"/>
      <c r="CG148" s="566"/>
      <c r="CH148" s="566"/>
      <c r="CI148" s="566"/>
      <c r="CJ148" s="532"/>
      <c r="CK148" s="532"/>
      <c r="CL148" s="532"/>
      <c r="CM148" s="532"/>
      <c r="CN148" s="532"/>
      <c r="CO148" s="532"/>
      <c r="CP148" s="532"/>
      <c r="CQ148" s="532"/>
      <c r="CR148" s="532"/>
      <c r="CS148" s="532"/>
      <c r="CT148" s="532"/>
      <c r="CU148" s="560"/>
      <c r="CV148" s="560"/>
      <c r="CW148" s="585"/>
      <c r="CX148" s="585"/>
      <c r="CY148" s="532"/>
      <c r="CZ148" s="532"/>
      <c r="DA148" s="532"/>
      <c r="DB148" s="532"/>
      <c r="DC148" s="532"/>
      <c r="DD148" s="532"/>
      <c r="DE148" s="532"/>
      <c r="DF148" s="20"/>
      <c r="DG148" s="20"/>
      <c r="DH148" s="20"/>
      <c r="DI148" s="20"/>
      <c r="DJ148" s="20"/>
      <c r="DK148" s="19"/>
      <c r="DL148" s="19"/>
      <c r="DM148" s="19"/>
      <c r="DN148" s="19"/>
      <c r="DO148" s="19"/>
      <c r="DP148" s="19"/>
      <c r="DQ148" s="19"/>
      <c r="DR148" s="19"/>
      <c r="DS148" s="19"/>
      <c r="DT148" s="19"/>
      <c r="DU148" s="19"/>
      <c r="DV148" s="19"/>
      <c r="DW148" s="19"/>
      <c r="DX148" s="19"/>
      <c r="DY148" s="19"/>
      <c r="DZ148" s="19"/>
      <c r="EA148" s="19"/>
      <c r="EB148" s="19"/>
      <c r="EC148" s="20"/>
      <c r="ED148" s="20"/>
      <c r="EE148" s="20"/>
      <c r="EF148" s="20"/>
      <c r="EG148" s="20"/>
      <c r="EH148" s="20"/>
      <c r="EI148" s="20"/>
      <c r="EJ148" s="20"/>
    </row>
    <row r="149" spans="1:140" ht="15.75" customHeight="1" x14ac:dyDescent="0.2">
      <c r="A149" s="1840"/>
      <c r="B149" s="1841"/>
      <c r="C149" s="1242"/>
      <c r="D149" s="1201"/>
      <c r="E149" s="1201"/>
      <c r="F149" s="1202"/>
      <c r="G149" s="1201"/>
      <c r="H149" s="1203"/>
      <c r="I149" s="1201"/>
      <c r="J149" s="1204"/>
      <c r="K149" s="1916"/>
      <c r="L149" s="1917"/>
      <c r="M149" s="1206"/>
      <c r="N149" s="4"/>
      <c r="Q149" s="672">
        <f t="shared" si="148"/>
        <v>0</v>
      </c>
      <c r="R149" s="674">
        <f t="shared" si="149"/>
        <v>0</v>
      </c>
      <c r="S149" s="673">
        <f t="shared" si="150"/>
        <v>0</v>
      </c>
      <c r="T149" s="673">
        <f t="shared" si="151"/>
        <v>0</v>
      </c>
      <c r="U149" s="674">
        <f t="shared" si="152"/>
        <v>0</v>
      </c>
      <c r="V149" s="674">
        <f t="shared" si="153"/>
        <v>0</v>
      </c>
      <c r="W149" s="675">
        <f t="shared" si="154"/>
        <v>0</v>
      </c>
      <c r="X149" s="678"/>
      <c r="Y149" s="678">
        <f t="shared" si="155"/>
        <v>0</v>
      </c>
      <c r="Z149" s="676">
        <f t="shared" si="156"/>
        <v>0</v>
      </c>
      <c r="AA149" s="676">
        <f t="shared" si="157"/>
        <v>0</v>
      </c>
      <c r="AB149" s="678">
        <f t="shared" si="158"/>
        <v>0</v>
      </c>
      <c r="AC149" s="678">
        <f t="shared" si="159"/>
        <v>0</v>
      </c>
      <c r="AD149" s="521">
        <f t="shared" si="160"/>
        <v>0</v>
      </c>
      <c r="AE149" s="521">
        <f t="shared" si="161"/>
        <v>0</v>
      </c>
      <c r="AF149" s="678">
        <f t="shared" si="162"/>
        <v>0</v>
      </c>
      <c r="AG149" s="678">
        <f t="shared" si="163"/>
        <v>0</v>
      </c>
      <c r="AH149" s="678" t="e">
        <f t="shared" si="164"/>
        <v>#DIV/0!</v>
      </c>
      <c r="AJ149" s="678"/>
      <c r="AK149" s="678"/>
      <c r="AL149" s="678">
        <f t="shared" si="141"/>
        <v>0</v>
      </c>
      <c r="AM149" s="678">
        <f t="shared" si="142"/>
        <v>0</v>
      </c>
      <c r="AN149" s="678">
        <f t="shared" si="143"/>
        <v>0</v>
      </c>
      <c r="AO149" s="678">
        <f t="shared" si="144"/>
        <v>0</v>
      </c>
      <c r="AP149" s="678">
        <f t="shared" si="145"/>
        <v>0</v>
      </c>
      <c r="AQ149" s="678">
        <f t="shared" si="165"/>
        <v>0</v>
      </c>
      <c r="AR149" s="678">
        <f t="shared" si="166"/>
        <v>0</v>
      </c>
      <c r="AS149" s="678">
        <f t="shared" si="167"/>
        <v>0</v>
      </c>
      <c r="AT149" s="678">
        <f t="shared" si="168"/>
        <v>0</v>
      </c>
      <c r="AU149" s="678">
        <f t="shared" si="169"/>
        <v>0</v>
      </c>
      <c r="AV149" s="1334" t="b">
        <v>1</v>
      </c>
      <c r="AW149" s="532">
        <v>1</v>
      </c>
      <c r="AX149" s="532"/>
      <c r="AY149" s="532"/>
      <c r="AZ149" s="532"/>
      <c r="BA149" s="532"/>
      <c r="BB149" s="532"/>
      <c r="BC149" s="532"/>
      <c r="BD149" s="532"/>
      <c r="BE149" s="585"/>
      <c r="BF149" s="585"/>
      <c r="BG149" s="590">
        <f t="shared" si="170"/>
        <v>0</v>
      </c>
      <c r="BH149" s="590">
        <f t="shared" si="171"/>
        <v>0</v>
      </c>
      <c r="BI149" s="585">
        <f t="shared" si="172"/>
        <v>100</v>
      </c>
      <c r="BJ149" s="585">
        <f t="shared" si="146"/>
        <v>0</v>
      </c>
      <c r="BK149" s="585"/>
      <c r="BL149" s="532">
        <f t="shared" si="173"/>
        <v>0.55000000000000004</v>
      </c>
      <c r="BM149" s="532">
        <f t="shared" si="174"/>
        <v>0.55000000000000004</v>
      </c>
      <c r="BN149" s="532">
        <f t="shared" si="175"/>
        <v>0.55000000000000004</v>
      </c>
      <c r="BO149" s="594">
        <f t="shared" si="147"/>
        <v>0</v>
      </c>
      <c r="BP149" s="532"/>
      <c r="BQ149" s="532"/>
      <c r="BR149" s="532"/>
      <c r="BS149" s="532"/>
      <c r="BT149" s="532"/>
      <c r="BU149" s="532"/>
      <c r="BV149" s="532"/>
      <c r="BW149" s="532"/>
      <c r="BX149" s="532"/>
      <c r="BY149" s="532"/>
      <c r="BZ149" s="560"/>
      <c r="CA149" s="560"/>
      <c r="CB149" s="560"/>
      <c r="CC149" s="590"/>
      <c r="CD149" s="532"/>
      <c r="CE149" s="532"/>
      <c r="CF149" s="566"/>
      <c r="CG149" s="566"/>
      <c r="CH149" s="566"/>
      <c r="CI149" s="566"/>
      <c r="CJ149" s="532"/>
      <c r="CK149" s="532"/>
      <c r="CL149" s="532"/>
      <c r="CM149" s="532"/>
      <c r="CN149" s="532"/>
      <c r="CO149" s="532"/>
      <c r="CP149" s="532"/>
      <c r="CQ149" s="532"/>
      <c r="CR149" s="532"/>
      <c r="CS149" s="532"/>
      <c r="CT149" s="532"/>
      <c r="CU149" s="560"/>
      <c r="CV149" s="560"/>
      <c r="CW149" s="585"/>
      <c r="CX149" s="585"/>
      <c r="CY149" s="532"/>
      <c r="CZ149" s="532"/>
      <c r="DA149" s="532"/>
      <c r="DB149" s="532"/>
      <c r="DC149" s="532"/>
      <c r="DD149" s="532"/>
      <c r="DE149" s="532"/>
      <c r="DF149" s="20"/>
      <c r="DG149" s="20"/>
      <c r="DH149" s="20"/>
      <c r="DI149" s="20"/>
      <c r="DJ149" s="20"/>
      <c r="DK149" s="19"/>
      <c r="DL149" s="19"/>
      <c r="DM149" s="19"/>
      <c r="DN149" s="19"/>
      <c r="DO149" s="19"/>
      <c r="DP149" s="19"/>
      <c r="DQ149" s="19"/>
      <c r="DR149" s="19"/>
      <c r="DS149" s="19"/>
      <c r="DT149" s="19"/>
      <c r="DU149" s="19"/>
      <c r="DV149" s="19"/>
      <c r="DW149" s="19"/>
      <c r="DX149" s="19"/>
      <c r="DY149" s="19"/>
      <c r="DZ149" s="19"/>
      <c r="EA149" s="19"/>
      <c r="EB149" s="19"/>
      <c r="EC149" s="20"/>
      <c r="ED149" s="20"/>
      <c r="EE149" s="20"/>
      <c r="EF149" s="20"/>
      <c r="EG149" s="20"/>
      <c r="EH149" s="20"/>
      <c r="EI149" s="20"/>
      <c r="EJ149" s="20"/>
    </row>
    <row r="150" spans="1:140" ht="15.75" customHeight="1" x14ac:dyDescent="0.2">
      <c r="A150" s="1840"/>
      <c r="B150" s="1841"/>
      <c r="C150" s="1242"/>
      <c r="D150" s="1201"/>
      <c r="E150" s="1201"/>
      <c r="F150" s="1202"/>
      <c r="G150" s="1201"/>
      <c r="H150" s="1203"/>
      <c r="I150" s="1201"/>
      <c r="J150" s="1204"/>
      <c r="K150" s="1916"/>
      <c r="L150" s="1917"/>
      <c r="M150" s="1206"/>
      <c r="N150" s="4"/>
      <c r="Q150" s="672">
        <f t="shared" si="148"/>
        <v>0</v>
      </c>
      <c r="R150" s="674">
        <f t="shared" si="149"/>
        <v>0</v>
      </c>
      <c r="S150" s="673">
        <f t="shared" si="150"/>
        <v>0</v>
      </c>
      <c r="T150" s="673">
        <f t="shared" si="151"/>
        <v>0</v>
      </c>
      <c r="U150" s="674">
        <f t="shared" si="152"/>
        <v>0</v>
      </c>
      <c r="V150" s="674">
        <f t="shared" si="153"/>
        <v>0</v>
      </c>
      <c r="W150" s="675">
        <f t="shared" si="154"/>
        <v>0</v>
      </c>
      <c r="X150" s="678"/>
      <c r="Y150" s="678">
        <f t="shared" si="155"/>
        <v>0</v>
      </c>
      <c r="Z150" s="676">
        <f t="shared" si="156"/>
        <v>0</v>
      </c>
      <c r="AA150" s="676">
        <f t="shared" si="157"/>
        <v>0</v>
      </c>
      <c r="AB150" s="678">
        <f t="shared" si="158"/>
        <v>0</v>
      </c>
      <c r="AC150" s="678">
        <f t="shared" si="159"/>
        <v>0</v>
      </c>
      <c r="AD150" s="521">
        <f t="shared" si="160"/>
        <v>0</v>
      </c>
      <c r="AE150" s="521">
        <f t="shared" si="161"/>
        <v>0</v>
      </c>
      <c r="AF150" s="678">
        <f t="shared" si="162"/>
        <v>0</v>
      </c>
      <c r="AG150" s="678">
        <f t="shared" si="163"/>
        <v>0</v>
      </c>
      <c r="AH150" s="678" t="e">
        <f t="shared" si="164"/>
        <v>#DIV/0!</v>
      </c>
      <c r="AJ150" s="678"/>
      <c r="AK150" s="678"/>
      <c r="AL150" s="678">
        <f t="shared" si="141"/>
        <v>0</v>
      </c>
      <c r="AM150" s="678">
        <f t="shared" si="142"/>
        <v>0</v>
      </c>
      <c r="AN150" s="678">
        <f t="shared" si="143"/>
        <v>0</v>
      </c>
      <c r="AO150" s="678">
        <f t="shared" si="144"/>
        <v>0</v>
      </c>
      <c r="AP150" s="678">
        <f t="shared" si="145"/>
        <v>0</v>
      </c>
      <c r="AQ150" s="678">
        <f t="shared" si="165"/>
        <v>0</v>
      </c>
      <c r="AR150" s="678">
        <f t="shared" si="166"/>
        <v>0</v>
      </c>
      <c r="AS150" s="678">
        <f t="shared" si="167"/>
        <v>0</v>
      </c>
      <c r="AT150" s="678">
        <f t="shared" si="168"/>
        <v>0</v>
      </c>
      <c r="AU150" s="678">
        <f t="shared" si="169"/>
        <v>0</v>
      </c>
      <c r="AV150" s="1334" t="b">
        <v>1</v>
      </c>
      <c r="AW150" s="532">
        <v>1</v>
      </c>
      <c r="AX150" s="532"/>
      <c r="AY150" s="532"/>
      <c r="AZ150" s="532"/>
      <c r="BA150" s="532"/>
      <c r="BB150" s="532"/>
      <c r="BC150" s="532"/>
      <c r="BD150" s="532"/>
      <c r="BE150" s="585"/>
      <c r="BF150" s="585"/>
      <c r="BG150" s="590">
        <f t="shared" si="170"/>
        <v>0</v>
      </c>
      <c r="BH150" s="590">
        <f t="shared" si="171"/>
        <v>0</v>
      </c>
      <c r="BI150" s="585">
        <f t="shared" si="172"/>
        <v>100</v>
      </c>
      <c r="BJ150" s="585">
        <f t="shared" si="146"/>
        <v>0</v>
      </c>
      <c r="BK150" s="585"/>
      <c r="BL150" s="532">
        <f t="shared" si="173"/>
        <v>0.55000000000000004</v>
      </c>
      <c r="BM150" s="532">
        <f t="shared" si="174"/>
        <v>0.55000000000000004</v>
      </c>
      <c r="BN150" s="532">
        <f t="shared" si="175"/>
        <v>0.55000000000000004</v>
      </c>
      <c r="BO150" s="594">
        <f t="shared" si="147"/>
        <v>0</v>
      </c>
      <c r="BP150" s="532"/>
      <c r="BQ150" s="532"/>
      <c r="BR150" s="532"/>
      <c r="BS150" s="532"/>
      <c r="BT150" s="532"/>
      <c r="BU150" s="532"/>
      <c r="BV150" s="532"/>
      <c r="BW150" s="532"/>
      <c r="BX150" s="532"/>
      <c r="BY150" s="532"/>
      <c r="BZ150" s="560"/>
      <c r="CA150" s="560"/>
      <c r="CB150" s="560"/>
      <c r="CC150" s="590"/>
      <c r="CD150" s="532"/>
      <c r="CE150" s="532"/>
      <c r="CF150" s="566"/>
      <c r="CG150" s="566"/>
      <c r="CH150" s="566"/>
      <c r="CI150" s="566"/>
      <c r="CJ150" s="532"/>
      <c r="CK150" s="532"/>
      <c r="CL150" s="532"/>
      <c r="CM150" s="532"/>
      <c r="CN150" s="532"/>
      <c r="CO150" s="532"/>
      <c r="CP150" s="532"/>
      <c r="CQ150" s="532"/>
      <c r="CR150" s="532"/>
      <c r="CS150" s="532"/>
      <c r="CT150" s="532"/>
      <c r="CU150" s="560"/>
      <c r="CV150" s="560"/>
      <c r="CW150" s="585"/>
      <c r="CX150" s="585"/>
      <c r="CY150" s="532"/>
      <c r="CZ150" s="532"/>
      <c r="DA150" s="532"/>
      <c r="DB150" s="532"/>
      <c r="DC150" s="532"/>
      <c r="DD150" s="532"/>
      <c r="DE150" s="532"/>
      <c r="DF150" s="20"/>
      <c r="DG150" s="20"/>
      <c r="DH150" s="20"/>
      <c r="DI150" s="20"/>
      <c r="DJ150" s="20"/>
      <c r="DK150" s="19"/>
      <c r="DL150" s="19"/>
      <c r="DM150" s="19"/>
      <c r="DN150" s="19"/>
      <c r="DO150" s="19"/>
      <c r="DP150" s="19"/>
      <c r="DQ150" s="19"/>
      <c r="DR150" s="19"/>
      <c r="DS150" s="19"/>
      <c r="DT150" s="19"/>
      <c r="DU150" s="19"/>
      <c r="DV150" s="19"/>
      <c r="DW150" s="19"/>
      <c r="DX150" s="19"/>
      <c r="DY150" s="19"/>
      <c r="DZ150" s="19"/>
      <c r="EA150" s="19"/>
      <c r="EB150" s="19"/>
      <c r="EC150" s="20"/>
      <c r="ED150" s="20"/>
      <c r="EE150" s="20"/>
      <c r="EF150" s="20"/>
      <c r="EG150" s="20"/>
      <c r="EH150" s="20"/>
      <c r="EI150" s="20"/>
      <c r="EJ150" s="20"/>
    </row>
    <row r="151" spans="1:140" ht="15.75" customHeight="1" x14ac:dyDescent="0.2">
      <c r="A151" s="1840"/>
      <c r="B151" s="1841"/>
      <c r="C151" s="1242"/>
      <c r="D151" s="1201"/>
      <c r="E151" s="1201"/>
      <c r="F151" s="1202"/>
      <c r="G151" s="1201"/>
      <c r="H151" s="1203"/>
      <c r="I151" s="1201"/>
      <c r="J151" s="1204"/>
      <c r="K151" s="1916"/>
      <c r="L151" s="1917"/>
      <c r="M151" s="1206"/>
      <c r="N151" s="4"/>
      <c r="Q151" s="672">
        <f t="shared" si="148"/>
        <v>0</v>
      </c>
      <c r="R151" s="674">
        <f t="shared" si="149"/>
        <v>0</v>
      </c>
      <c r="S151" s="673">
        <f t="shared" si="150"/>
        <v>0</v>
      </c>
      <c r="T151" s="673">
        <f t="shared" si="151"/>
        <v>0</v>
      </c>
      <c r="U151" s="674">
        <f t="shared" si="152"/>
        <v>0</v>
      </c>
      <c r="V151" s="674">
        <f t="shared" si="153"/>
        <v>0</v>
      </c>
      <c r="W151" s="675">
        <f t="shared" si="154"/>
        <v>0</v>
      </c>
      <c r="X151" s="678"/>
      <c r="Y151" s="678">
        <f t="shared" si="155"/>
        <v>0</v>
      </c>
      <c r="Z151" s="676">
        <f t="shared" si="156"/>
        <v>0</v>
      </c>
      <c r="AA151" s="676">
        <f t="shared" si="157"/>
        <v>0</v>
      </c>
      <c r="AB151" s="678">
        <f t="shared" si="158"/>
        <v>0</v>
      </c>
      <c r="AC151" s="678">
        <f t="shared" si="159"/>
        <v>0</v>
      </c>
      <c r="AD151" s="521">
        <f t="shared" si="160"/>
        <v>0</v>
      </c>
      <c r="AE151" s="521">
        <f t="shared" si="161"/>
        <v>0</v>
      </c>
      <c r="AF151" s="678">
        <f t="shared" si="162"/>
        <v>0</v>
      </c>
      <c r="AG151" s="678">
        <f t="shared" si="163"/>
        <v>0</v>
      </c>
      <c r="AH151" s="678" t="e">
        <f t="shared" si="164"/>
        <v>#DIV/0!</v>
      </c>
      <c r="AJ151" s="678"/>
      <c r="AK151" s="678"/>
      <c r="AL151" s="678">
        <f t="shared" si="141"/>
        <v>0</v>
      </c>
      <c r="AM151" s="678">
        <f t="shared" si="142"/>
        <v>0</v>
      </c>
      <c r="AN151" s="678">
        <f t="shared" si="143"/>
        <v>0</v>
      </c>
      <c r="AO151" s="678">
        <f t="shared" si="144"/>
        <v>0</v>
      </c>
      <c r="AP151" s="678">
        <f t="shared" si="145"/>
        <v>0</v>
      </c>
      <c r="AQ151" s="678">
        <f t="shared" si="165"/>
        <v>0</v>
      </c>
      <c r="AR151" s="678">
        <f t="shared" si="166"/>
        <v>0</v>
      </c>
      <c r="AS151" s="678">
        <f t="shared" si="167"/>
        <v>0</v>
      </c>
      <c r="AT151" s="678">
        <f t="shared" si="168"/>
        <v>0</v>
      </c>
      <c r="AU151" s="678">
        <f t="shared" si="169"/>
        <v>0</v>
      </c>
      <c r="AV151" s="1334" t="b">
        <v>1</v>
      </c>
      <c r="AW151" s="532">
        <v>1</v>
      </c>
      <c r="AX151" s="532"/>
      <c r="AY151" s="532"/>
      <c r="AZ151" s="532"/>
      <c r="BA151" s="532"/>
      <c r="BB151" s="532"/>
      <c r="BC151" s="532"/>
      <c r="BD151" s="532"/>
      <c r="BE151" s="585"/>
      <c r="BF151" s="585"/>
      <c r="BG151" s="590">
        <f t="shared" si="170"/>
        <v>0</v>
      </c>
      <c r="BH151" s="590">
        <f t="shared" si="171"/>
        <v>0</v>
      </c>
      <c r="BI151" s="585">
        <f t="shared" si="172"/>
        <v>100</v>
      </c>
      <c r="BJ151" s="585">
        <f t="shared" si="146"/>
        <v>0</v>
      </c>
      <c r="BK151" s="585"/>
      <c r="BL151" s="532">
        <f t="shared" si="173"/>
        <v>0.55000000000000004</v>
      </c>
      <c r="BM151" s="532">
        <f t="shared" si="174"/>
        <v>0.55000000000000004</v>
      </c>
      <c r="BN151" s="532">
        <f t="shared" si="175"/>
        <v>0.55000000000000004</v>
      </c>
      <c r="BO151" s="594">
        <f t="shared" si="147"/>
        <v>0</v>
      </c>
      <c r="BP151" s="532"/>
      <c r="BQ151" s="532"/>
      <c r="BR151" s="532"/>
      <c r="BS151" s="532"/>
      <c r="BT151" s="532"/>
      <c r="BU151" s="532"/>
      <c r="BV151" s="532"/>
      <c r="BW151" s="532"/>
      <c r="BX151" s="532"/>
      <c r="BY151" s="532"/>
      <c r="BZ151" s="560"/>
      <c r="CA151" s="560"/>
      <c r="CB151" s="560"/>
      <c r="CC151" s="590"/>
      <c r="CD151" s="532"/>
      <c r="CE151" s="532"/>
      <c r="CF151" s="566"/>
      <c r="CG151" s="566"/>
      <c r="CH151" s="566"/>
      <c r="CI151" s="566"/>
      <c r="CJ151" s="532"/>
      <c r="CK151" s="532"/>
      <c r="CL151" s="532"/>
      <c r="CM151" s="532"/>
      <c r="CN151" s="532"/>
      <c r="CO151" s="532"/>
      <c r="CP151" s="532"/>
      <c r="CQ151" s="532"/>
      <c r="CR151" s="532"/>
      <c r="CS151" s="532"/>
      <c r="CT151" s="532"/>
      <c r="CU151" s="560"/>
      <c r="CV151" s="560"/>
      <c r="CW151" s="585"/>
      <c r="CX151" s="585"/>
      <c r="CY151" s="532"/>
      <c r="CZ151" s="532"/>
      <c r="DA151" s="532"/>
      <c r="DB151" s="532"/>
      <c r="DC151" s="532"/>
      <c r="DD151" s="532"/>
      <c r="DE151" s="532"/>
      <c r="DF151" s="20"/>
      <c r="DG151" s="20"/>
      <c r="DH151" s="20"/>
      <c r="DI151" s="20"/>
      <c r="DJ151" s="20"/>
      <c r="DK151" s="19"/>
      <c r="DL151" s="19"/>
      <c r="DM151" s="19"/>
      <c r="DN151" s="19"/>
      <c r="DO151" s="19"/>
      <c r="DP151" s="19"/>
      <c r="DQ151" s="19"/>
      <c r="DR151" s="19"/>
      <c r="DS151" s="19"/>
      <c r="DT151" s="19"/>
      <c r="DU151" s="19"/>
      <c r="DV151" s="19"/>
      <c r="DW151" s="19"/>
      <c r="DX151" s="19"/>
      <c r="DY151" s="19"/>
      <c r="DZ151" s="19"/>
      <c r="EA151" s="19"/>
      <c r="EB151" s="19"/>
      <c r="EC151" s="20"/>
      <c r="ED151" s="20"/>
      <c r="EE151" s="20"/>
      <c r="EF151" s="20"/>
      <c r="EG151" s="20"/>
      <c r="EH151" s="20"/>
      <c r="EI151" s="20"/>
      <c r="EJ151" s="20"/>
    </row>
    <row r="152" spans="1:140" ht="15.75" customHeight="1" x14ac:dyDescent="0.2">
      <c r="A152" s="1840"/>
      <c r="B152" s="1841"/>
      <c r="C152" s="1242"/>
      <c r="D152" s="1201"/>
      <c r="E152" s="1201"/>
      <c r="F152" s="1202"/>
      <c r="G152" s="1201"/>
      <c r="H152" s="1203"/>
      <c r="I152" s="1201"/>
      <c r="J152" s="1204"/>
      <c r="K152" s="1916"/>
      <c r="L152" s="1917"/>
      <c r="M152" s="1206"/>
      <c r="N152" s="4"/>
      <c r="Q152" s="672">
        <f t="shared" si="148"/>
        <v>0</v>
      </c>
      <c r="R152" s="674">
        <f t="shared" si="149"/>
        <v>0</v>
      </c>
      <c r="S152" s="673">
        <f t="shared" si="150"/>
        <v>0</v>
      </c>
      <c r="T152" s="673">
        <f t="shared" si="151"/>
        <v>0</v>
      </c>
      <c r="U152" s="674">
        <f t="shared" si="152"/>
        <v>0</v>
      </c>
      <c r="V152" s="674">
        <f t="shared" si="153"/>
        <v>0</v>
      </c>
      <c r="W152" s="675">
        <f t="shared" si="154"/>
        <v>0</v>
      </c>
      <c r="X152" s="678"/>
      <c r="Y152" s="678">
        <f t="shared" si="155"/>
        <v>0</v>
      </c>
      <c r="Z152" s="676">
        <f t="shared" si="156"/>
        <v>0</v>
      </c>
      <c r="AA152" s="676">
        <f t="shared" si="157"/>
        <v>0</v>
      </c>
      <c r="AB152" s="678">
        <f t="shared" si="158"/>
        <v>0</v>
      </c>
      <c r="AC152" s="678">
        <f t="shared" si="159"/>
        <v>0</v>
      </c>
      <c r="AD152" s="521">
        <f t="shared" si="160"/>
        <v>0</v>
      </c>
      <c r="AE152" s="521">
        <f t="shared" si="161"/>
        <v>0</v>
      </c>
      <c r="AF152" s="678">
        <f t="shared" si="162"/>
        <v>0</v>
      </c>
      <c r="AG152" s="678">
        <f t="shared" si="163"/>
        <v>0</v>
      </c>
      <c r="AH152" s="678" t="e">
        <f t="shared" si="164"/>
        <v>#DIV/0!</v>
      </c>
      <c r="AJ152" s="678"/>
      <c r="AK152" s="678"/>
      <c r="AL152" s="678">
        <f t="shared" si="141"/>
        <v>0</v>
      </c>
      <c r="AM152" s="678">
        <f t="shared" si="142"/>
        <v>0</v>
      </c>
      <c r="AN152" s="678">
        <f t="shared" si="143"/>
        <v>0</v>
      </c>
      <c r="AO152" s="678">
        <f t="shared" si="144"/>
        <v>0</v>
      </c>
      <c r="AP152" s="678">
        <f t="shared" si="145"/>
        <v>0</v>
      </c>
      <c r="AQ152" s="678">
        <f t="shared" si="165"/>
        <v>0</v>
      </c>
      <c r="AR152" s="678">
        <f t="shared" si="166"/>
        <v>0</v>
      </c>
      <c r="AS152" s="678">
        <f t="shared" si="167"/>
        <v>0</v>
      </c>
      <c r="AT152" s="678">
        <f t="shared" si="168"/>
        <v>0</v>
      </c>
      <c r="AU152" s="678">
        <f t="shared" si="169"/>
        <v>0</v>
      </c>
      <c r="AV152" s="1334" t="b">
        <v>1</v>
      </c>
      <c r="AW152" s="532">
        <v>1</v>
      </c>
      <c r="AX152" s="532"/>
      <c r="AY152" s="532"/>
      <c r="AZ152" s="532"/>
      <c r="BA152" s="532"/>
      <c r="BB152" s="532"/>
      <c r="BC152" s="532"/>
      <c r="BD152" s="532"/>
      <c r="BE152" s="585"/>
      <c r="BF152" s="585"/>
      <c r="BG152" s="590">
        <f t="shared" si="170"/>
        <v>0</v>
      </c>
      <c r="BH152" s="590">
        <f t="shared" si="171"/>
        <v>0</v>
      </c>
      <c r="BI152" s="585">
        <f t="shared" si="172"/>
        <v>100</v>
      </c>
      <c r="BJ152" s="585">
        <f t="shared" si="146"/>
        <v>0</v>
      </c>
      <c r="BK152" s="585"/>
      <c r="BL152" s="532">
        <f t="shared" si="173"/>
        <v>0.55000000000000004</v>
      </c>
      <c r="BM152" s="532">
        <f t="shared" si="174"/>
        <v>0.55000000000000004</v>
      </c>
      <c r="BN152" s="532">
        <f t="shared" si="175"/>
        <v>0.55000000000000004</v>
      </c>
      <c r="BO152" s="594">
        <f t="shared" si="147"/>
        <v>0</v>
      </c>
      <c r="BP152" s="532"/>
      <c r="BQ152" s="532"/>
      <c r="BR152" s="532"/>
      <c r="BS152" s="532"/>
      <c r="BT152" s="532"/>
      <c r="BU152" s="532"/>
      <c r="BV152" s="532"/>
      <c r="BW152" s="532"/>
      <c r="BX152" s="532"/>
      <c r="BY152" s="532"/>
      <c r="BZ152" s="560"/>
      <c r="CA152" s="560"/>
      <c r="CB152" s="560"/>
      <c r="CC152" s="590"/>
      <c r="CD152" s="532"/>
      <c r="CE152" s="532"/>
      <c r="CF152" s="566"/>
      <c r="CG152" s="566"/>
      <c r="CH152" s="566"/>
      <c r="CI152" s="566"/>
      <c r="CJ152" s="532"/>
      <c r="CK152" s="532"/>
      <c r="CL152" s="532"/>
      <c r="CM152" s="532"/>
      <c r="CN152" s="532"/>
      <c r="CO152" s="532"/>
      <c r="CP152" s="532"/>
      <c r="CQ152" s="532"/>
      <c r="CR152" s="532"/>
      <c r="CS152" s="532"/>
      <c r="CT152" s="532"/>
      <c r="CU152" s="560"/>
      <c r="CV152" s="560"/>
      <c r="CW152" s="585"/>
      <c r="CX152" s="585"/>
      <c r="CY152" s="532"/>
      <c r="CZ152" s="532"/>
      <c r="DA152" s="532"/>
      <c r="DB152" s="532"/>
      <c r="DC152" s="532"/>
      <c r="DD152" s="532"/>
      <c r="DE152" s="532"/>
      <c r="DF152" s="20"/>
      <c r="DG152" s="20"/>
      <c r="DH152" s="20"/>
      <c r="DI152" s="20"/>
      <c r="DJ152" s="20"/>
      <c r="DK152" s="19"/>
      <c r="DL152" s="19"/>
      <c r="DM152" s="19"/>
      <c r="DN152" s="19"/>
      <c r="DO152" s="19"/>
      <c r="DP152" s="19"/>
      <c r="DQ152" s="19"/>
      <c r="DR152" s="19"/>
      <c r="DS152" s="19"/>
      <c r="DT152" s="19"/>
      <c r="DU152" s="19"/>
      <c r="DV152" s="19"/>
      <c r="DW152" s="19"/>
      <c r="DX152" s="19"/>
      <c r="DY152" s="19"/>
      <c r="DZ152" s="19"/>
      <c r="EA152" s="19"/>
      <c r="EB152" s="19"/>
      <c r="EC152" s="20"/>
      <c r="ED152" s="20"/>
      <c r="EE152" s="20"/>
      <c r="EF152" s="20"/>
      <c r="EG152" s="20"/>
      <c r="EH152" s="20"/>
      <c r="EI152" s="20"/>
      <c r="EJ152" s="20"/>
    </row>
    <row r="153" spans="1:140" ht="15.75" customHeight="1" x14ac:dyDescent="0.2">
      <c r="A153" s="1840"/>
      <c r="B153" s="1841"/>
      <c r="C153" s="1242"/>
      <c r="D153" s="1201"/>
      <c r="E153" s="1201"/>
      <c r="F153" s="1202"/>
      <c r="G153" s="1201"/>
      <c r="H153" s="1203"/>
      <c r="I153" s="1201"/>
      <c r="J153" s="1204"/>
      <c r="K153" s="1916"/>
      <c r="L153" s="1917"/>
      <c r="M153" s="1206"/>
      <c r="N153" s="4"/>
      <c r="Q153" s="672">
        <f t="shared" si="148"/>
        <v>0</v>
      </c>
      <c r="R153" s="674">
        <f t="shared" si="149"/>
        <v>0</v>
      </c>
      <c r="S153" s="673">
        <f t="shared" si="150"/>
        <v>0</v>
      </c>
      <c r="T153" s="673">
        <f t="shared" si="151"/>
        <v>0</v>
      </c>
      <c r="U153" s="674">
        <f t="shared" si="152"/>
        <v>0</v>
      </c>
      <c r="V153" s="674">
        <f t="shared" si="153"/>
        <v>0</v>
      </c>
      <c r="W153" s="675">
        <f t="shared" si="154"/>
        <v>0</v>
      </c>
      <c r="X153" s="678"/>
      <c r="Y153" s="678">
        <f t="shared" si="155"/>
        <v>0</v>
      </c>
      <c r="Z153" s="676">
        <f t="shared" si="156"/>
        <v>0</v>
      </c>
      <c r="AA153" s="676">
        <f t="shared" si="157"/>
        <v>0</v>
      </c>
      <c r="AB153" s="678">
        <f t="shared" si="158"/>
        <v>0</v>
      </c>
      <c r="AC153" s="678">
        <f t="shared" si="159"/>
        <v>0</v>
      </c>
      <c r="AD153" s="521">
        <f t="shared" si="160"/>
        <v>0</v>
      </c>
      <c r="AE153" s="521">
        <f t="shared" si="161"/>
        <v>0</v>
      </c>
      <c r="AF153" s="678">
        <f t="shared" si="162"/>
        <v>0</v>
      </c>
      <c r="AG153" s="678">
        <f t="shared" si="163"/>
        <v>0</v>
      </c>
      <c r="AH153" s="678" t="e">
        <f t="shared" si="164"/>
        <v>#DIV/0!</v>
      </c>
      <c r="AJ153" s="678"/>
      <c r="AK153" s="678"/>
      <c r="AL153" s="678">
        <f t="shared" si="141"/>
        <v>0</v>
      </c>
      <c r="AM153" s="678">
        <f t="shared" si="142"/>
        <v>0</v>
      </c>
      <c r="AN153" s="678">
        <f t="shared" si="143"/>
        <v>0</v>
      </c>
      <c r="AO153" s="678">
        <f t="shared" si="144"/>
        <v>0</v>
      </c>
      <c r="AP153" s="678">
        <f t="shared" si="145"/>
        <v>0</v>
      </c>
      <c r="AQ153" s="678">
        <f t="shared" si="165"/>
        <v>0</v>
      </c>
      <c r="AR153" s="678">
        <f t="shared" si="166"/>
        <v>0</v>
      </c>
      <c r="AS153" s="678">
        <f t="shared" si="167"/>
        <v>0</v>
      </c>
      <c r="AT153" s="678">
        <f t="shared" si="168"/>
        <v>0</v>
      </c>
      <c r="AU153" s="678">
        <f t="shared" si="169"/>
        <v>0</v>
      </c>
      <c r="AV153" s="1334" t="b">
        <v>1</v>
      </c>
      <c r="AW153" s="532">
        <v>1</v>
      </c>
      <c r="AX153" s="532"/>
      <c r="AY153" s="532"/>
      <c r="AZ153" s="532"/>
      <c r="BA153" s="532"/>
      <c r="BB153" s="532"/>
      <c r="BC153" s="532"/>
      <c r="BD153" s="532"/>
      <c r="BE153" s="585"/>
      <c r="BF153" s="585"/>
      <c r="BG153" s="590">
        <f t="shared" si="170"/>
        <v>0</v>
      </c>
      <c r="BH153" s="590">
        <f t="shared" si="171"/>
        <v>0</v>
      </c>
      <c r="BI153" s="585">
        <f t="shared" si="172"/>
        <v>100</v>
      </c>
      <c r="BJ153" s="585">
        <f t="shared" si="146"/>
        <v>0</v>
      </c>
      <c r="BK153" s="585"/>
      <c r="BL153" s="532">
        <f t="shared" si="173"/>
        <v>0.55000000000000004</v>
      </c>
      <c r="BM153" s="532">
        <f t="shared" si="174"/>
        <v>0.55000000000000004</v>
      </c>
      <c r="BN153" s="532">
        <f t="shared" si="175"/>
        <v>0.55000000000000004</v>
      </c>
      <c r="BO153" s="594">
        <f t="shared" si="147"/>
        <v>0</v>
      </c>
      <c r="BP153" s="532"/>
      <c r="BQ153" s="532"/>
      <c r="BR153" s="532"/>
      <c r="BS153" s="532"/>
      <c r="BT153" s="532"/>
      <c r="BU153" s="532"/>
      <c r="BV153" s="532"/>
      <c r="BW153" s="532"/>
      <c r="BX153" s="532"/>
      <c r="BY153" s="532"/>
      <c r="BZ153" s="560"/>
      <c r="CA153" s="560"/>
      <c r="CB153" s="560"/>
      <c r="CC153" s="590"/>
      <c r="CD153" s="532"/>
      <c r="CE153" s="532"/>
      <c r="CF153" s="566"/>
      <c r="CG153" s="566"/>
      <c r="CH153" s="566"/>
      <c r="CI153" s="566"/>
      <c r="CJ153" s="532"/>
      <c r="CK153" s="532"/>
      <c r="CL153" s="532"/>
      <c r="CM153" s="532"/>
      <c r="CN153" s="532"/>
      <c r="CO153" s="532"/>
      <c r="CP153" s="532"/>
      <c r="CQ153" s="532"/>
      <c r="CR153" s="532"/>
      <c r="CS153" s="532"/>
      <c r="CT153" s="532"/>
      <c r="CU153" s="560"/>
      <c r="CV153" s="560"/>
      <c r="CW153" s="585"/>
      <c r="CX153" s="585"/>
      <c r="CY153" s="532"/>
      <c r="CZ153" s="532"/>
      <c r="DA153" s="532"/>
      <c r="DB153" s="532"/>
      <c r="DC153" s="532"/>
      <c r="DD153" s="532"/>
      <c r="DE153" s="532"/>
      <c r="DF153" s="20"/>
      <c r="DG153" s="20"/>
      <c r="DH153" s="20"/>
      <c r="DI153" s="20"/>
      <c r="DJ153" s="20"/>
      <c r="DK153" s="19"/>
      <c r="DL153" s="19"/>
      <c r="DM153" s="19"/>
      <c r="DN153" s="19"/>
      <c r="DO153" s="19"/>
      <c r="DP153" s="19"/>
      <c r="DQ153" s="19"/>
      <c r="DR153" s="19"/>
      <c r="DS153" s="19"/>
      <c r="DT153" s="19"/>
      <c r="DU153" s="19"/>
      <c r="DV153" s="19"/>
      <c r="DW153" s="19"/>
      <c r="DX153" s="19"/>
      <c r="DY153" s="19"/>
      <c r="DZ153" s="19"/>
      <c r="EA153" s="19"/>
      <c r="EB153" s="19"/>
      <c r="EC153" s="20"/>
      <c r="ED153" s="20"/>
      <c r="EE153" s="20"/>
      <c r="EF153" s="20"/>
      <c r="EG153" s="20"/>
      <c r="EH153" s="20"/>
      <c r="EI153" s="20"/>
      <c r="EJ153" s="20"/>
    </row>
    <row r="154" spans="1:140" ht="15.75" customHeight="1" x14ac:dyDescent="0.2">
      <c r="A154" s="1840"/>
      <c r="B154" s="1841"/>
      <c r="C154" s="1242"/>
      <c r="D154" s="1201"/>
      <c r="E154" s="1201"/>
      <c r="F154" s="1202"/>
      <c r="G154" s="1201"/>
      <c r="H154" s="1203"/>
      <c r="I154" s="1201"/>
      <c r="J154" s="1204"/>
      <c r="K154" s="1916"/>
      <c r="L154" s="1917"/>
      <c r="M154" s="1206"/>
      <c r="N154" s="4"/>
      <c r="Q154" s="672">
        <f t="shared" si="148"/>
        <v>0</v>
      </c>
      <c r="R154" s="674">
        <f t="shared" si="149"/>
        <v>0</v>
      </c>
      <c r="S154" s="673">
        <f t="shared" si="150"/>
        <v>0</v>
      </c>
      <c r="T154" s="673">
        <f t="shared" si="151"/>
        <v>0</v>
      </c>
      <c r="U154" s="674">
        <f t="shared" si="152"/>
        <v>0</v>
      </c>
      <c r="V154" s="674">
        <f t="shared" si="153"/>
        <v>0</v>
      </c>
      <c r="W154" s="675">
        <f t="shared" si="154"/>
        <v>0</v>
      </c>
      <c r="X154" s="678"/>
      <c r="Y154" s="678">
        <f t="shared" si="155"/>
        <v>0</v>
      </c>
      <c r="Z154" s="676">
        <f t="shared" si="156"/>
        <v>0</v>
      </c>
      <c r="AA154" s="676">
        <f t="shared" si="157"/>
        <v>0</v>
      </c>
      <c r="AB154" s="678">
        <f t="shared" si="158"/>
        <v>0</v>
      </c>
      <c r="AC154" s="678">
        <f t="shared" si="159"/>
        <v>0</v>
      </c>
      <c r="AD154" s="521">
        <f t="shared" si="160"/>
        <v>0</v>
      </c>
      <c r="AE154" s="521">
        <f t="shared" si="161"/>
        <v>0</v>
      </c>
      <c r="AF154" s="678">
        <f t="shared" si="162"/>
        <v>0</v>
      </c>
      <c r="AG154" s="678">
        <f t="shared" si="163"/>
        <v>0</v>
      </c>
      <c r="AH154" s="678" t="e">
        <f t="shared" si="164"/>
        <v>#DIV/0!</v>
      </c>
      <c r="AJ154" s="678"/>
      <c r="AK154" s="678"/>
      <c r="AL154" s="678">
        <f t="shared" si="141"/>
        <v>0</v>
      </c>
      <c r="AM154" s="678">
        <f t="shared" si="142"/>
        <v>0</v>
      </c>
      <c r="AN154" s="678">
        <f t="shared" si="143"/>
        <v>0</v>
      </c>
      <c r="AO154" s="678">
        <f t="shared" si="144"/>
        <v>0</v>
      </c>
      <c r="AP154" s="678">
        <f t="shared" si="145"/>
        <v>0</v>
      </c>
      <c r="AQ154" s="678">
        <f t="shared" si="165"/>
        <v>0</v>
      </c>
      <c r="AR154" s="678">
        <f t="shared" si="166"/>
        <v>0</v>
      </c>
      <c r="AS154" s="678">
        <f t="shared" si="167"/>
        <v>0</v>
      </c>
      <c r="AT154" s="678">
        <f t="shared" si="168"/>
        <v>0</v>
      </c>
      <c r="AU154" s="678">
        <f t="shared" si="169"/>
        <v>0</v>
      </c>
      <c r="AV154" s="1334" t="b">
        <v>1</v>
      </c>
      <c r="AW154" s="532">
        <v>1</v>
      </c>
      <c r="AX154" s="532"/>
      <c r="AY154" s="532"/>
      <c r="AZ154" s="532"/>
      <c r="BA154" s="532"/>
      <c r="BB154" s="532"/>
      <c r="BC154" s="532"/>
      <c r="BD154" s="532"/>
      <c r="BE154" s="585"/>
      <c r="BF154" s="585"/>
      <c r="BG154" s="590">
        <f t="shared" si="170"/>
        <v>0</v>
      </c>
      <c r="BH154" s="590">
        <f t="shared" si="171"/>
        <v>0</v>
      </c>
      <c r="BI154" s="585">
        <f t="shared" si="172"/>
        <v>100</v>
      </c>
      <c r="BJ154" s="585">
        <f t="shared" si="146"/>
        <v>0</v>
      </c>
      <c r="BK154" s="585"/>
      <c r="BL154" s="532">
        <f t="shared" si="173"/>
        <v>0.55000000000000004</v>
      </c>
      <c r="BM154" s="532">
        <f t="shared" si="174"/>
        <v>0.55000000000000004</v>
      </c>
      <c r="BN154" s="532">
        <f t="shared" si="175"/>
        <v>0.55000000000000004</v>
      </c>
      <c r="BO154" s="594">
        <f t="shared" si="147"/>
        <v>0</v>
      </c>
      <c r="BP154" s="532"/>
      <c r="BQ154" s="532"/>
      <c r="BR154" s="532"/>
      <c r="BS154" s="532"/>
      <c r="BT154" s="532"/>
      <c r="BU154" s="532"/>
      <c r="BV154" s="532"/>
      <c r="BW154" s="532"/>
      <c r="BX154" s="532"/>
      <c r="BY154" s="532"/>
      <c r="BZ154" s="560"/>
      <c r="CA154" s="560"/>
      <c r="CB154" s="560"/>
      <c r="CC154" s="590"/>
      <c r="CD154" s="532"/>
      <c r="CE154" s="532"/>
      <c r="CF154" s="566"/>
      <c r="CG154" s="566"/>
      <c r="CH154" s="566"/>
      <c r="CI154" s="566"/>
      <c r="CJ154" s="532"/>
      <c r="CK154" s="532"/>
      <c r="CL154" s="532"/>
      <c r="CM154" s="532"/>
      <c r="CN154" s="532"/>
      <c r="CO154" s="532"/>
      <c r="CP154" s="532"/>
      <c r="CQ154" s="532"/>
      <c r="CR154" s="532"/>
      <c r="CS154" s="532"/>
      <c r="CT154" s="532"/>
      <c r="CU154" s="560"/>
      <c r="CV154" s="560"/>
      <c r="CW154" s="585"/>
      <c r="CX154" s="585"/>
      <c r="CY154" s="532"/>
      <c r="CZ154" s="532"/>
      <c r="DA154" s="532"/>
      <c r="DB154" s="532"/>
      <c r="DC154" s="532"/>
      <c r="DD154" s="532"/>
      <c r="DE154" s="532"/>
      <c r="DF154" s="20"/>
      <c r="DG154" s="20"/>
      <c r="DH154" s="20"/>
      <c r="DI154" s="20"/>
      <c r="DJ154" s="20"/>
      <c r="DK154" s="19"/>
      <c r="DL154" s="19"/>
      <c r="DM154" s="19"/>
      <c r="DN154" s="19"/>
      <c r="DO154" s="19"/>
      <c r="DP154" s="19"/>
      <c r="DQ154" s="19"/>
      <c r="DR154" s="19"/>
      <c r="DS154" s="19"/>
      <c r="DT154" s="19"/>
      <c r="DU154" s="19"/>
      <c r="DV154" s="19"/>
      <c r="DW154" s="19"/>
      <c r="DX154" s="19"/>
      <c r="DY154" s="19"/>
      <c r="DZ154" s="19"/>
      <c r="EA154" s="19"/>
      <c r="EB154" s="19"/>
      <c r="EC154" s="20"/>
      <c r="ED154" s="20"/>
      <c r="EE154" s="20"/>
      <c r="EF154" s="20"/>
      <c r="EG154" s="20"/>
      <c r="EH154" s="20"/>
      <c r="EI154" s="20"/>
      <c r="EJ154" s="20"/>
    </row>
    <row r="155" spans="1:140" ht="15.75" customHeight="1" thickBot="1" x14ac:dyDescent="0.25">
      <c r="A155" s="2098"/>
      <c r="B155" s="2099"/>
      <c r="C155" s="1243"/>
      <c r="D155" s="1207"/>
      <c r="E155" s="1207"/>
      <c r="F155" s="1208"/>
      <c r="G155" s="1207"/>
      <c r="H155" s="1209"/>
      <c r="I155" s="1207"/>
      <c r="J155" s="1210"/>
      <c r="K155" s="2122"/>
      <c r="L155" s="2123"/>
      <c r="M155" s="1211"/>
      <c r="N155" s="4"/>
      <c r="Q155" s="672">
        <f t="shared" si="148"/>
        <v>0</v>
      </c>
      <c r="R155" s="674">
        <f t="shared" si="149"/>
        <v>0</v>
      </c>
      <c r="S155" s="673">
        <f t="shared" si="150"/>
        <v>0</v>
      </c>
      <c r="T155" s="673">
        <f t="shared" si="151"/>
        <v>0</v>
      </c>
      <c r="U155" s="674">
        <f t="shared" si="152"/>
        <v>0</v>
      </c>
      <c r="V155" s="674">
        <f t="shared" si="153"/>
        <v>0</v>
      </c>
      <c r="W155" s="675">
        <f t="shared" si="154"/>
        <v>0</v>
      </c>
      <c r="X155" s="678"/>
      <c r="Y155" s="678">
        <f t="shared" si="155"/>
        <v>0</v>
      </c>
      <c r="Z155" s="676">
        <f t="shared" si="156"/>
        <v>0</v>
      </c>
      <c r="AA155" s="676">
        <f t="shared" si="157"/>
        <v>0</v>
      </c>
      <c r="AB155" s="678">
        <f t="shared" si="158"/>
        <v>0</v>
      </c>
      <c r="AC155" s="678">
        <f t="shared" si="159"/>
        <v>0</v>
      </c>
      <c r="AD155" s="521">
        <f t="shared" si="160"/>
        <v>0</v>
      </c>
      <c r="AE155" s="521">
        <f t="shared" si="161"/>
        <v>0</v>
      </c>
      <c r="AF155" s="678">
        <f t="shared" si="162"/>
        <v>0</v>
      </c>
      <c r="AG155" s="678">
        <f t="shared" si="163"/>
        <v>0</v>
      </c>
      <c r="AH155" s="678" t="e">
        <f t="shared" si="164"/>
        <v>#DIV/0!</v>
      </c>
      <c r="AJ155" s="678"/>
      <c r="AK155" s="678"/>
      <c r="AL155" s="678">
        <f t="shared" si="141"/>
        <v>0</v>
      </c>
      <c r="AM155" s="678">
        <f t="shared" si="142"/>
        <v>0</v>
      </c>
      <c r="AN155" s="678">
        <f t="shared" si="143"/>
        <v>0</v>
      </c>
      <c r="AO155" s="678">
        <f t="shared" si="144"/>
        <v>0</v>
      </c>
      <c r="AP155" s="678">
        <f t="shared" si="145"/>
        <v>0</v>
      </c>
      <c r="AQ155" s="678">
        <f t="shared" si="165"/>
        <v>0</v>
      </c>
      <c r="AR155" s="678">
        <f t="shared" si="166"/>
        <v>0</v>
      </c>
      <c r="AS155" s="678">
        <f t="shared" si="167"/>
        <v>0</v>
      </c>
      <c r="AT155" s="678">
        <f t="shared" si="168"/>
        <v>0</v>
      </c>
      <c r="AU155" s="678">
        <f t="shared" si="169"/>
        <v>0</v>
      </c>
      <c r="AV155" s="1334" t="b">
        <v>1</v>
      </c>
      <c r="AW155" s="532">
        <v>1</v>
      </c>
      <c r="AX155" s="532"/>
      <c r="AY155" s="532"/>
      <c r="AZ155" s="532"/>
      <c r="BA155" s="532"/>
      <c r="BB155" s="532"/>
      <c r="BC155" s="532"/>
      <c r="BD155" s="532"/>
      <c r="BE155" s="585"/>
      <c r="BF155" s="585"/>
      <c r="BG155" s="590">
        <f t="shared" si="170"/>
        <v>0</v>
      </c>
      <c r="BH155" s="590">
        <f t="shared" si="171"/>
        <v>0</v>
      </c>
      <c r="BI155" s="585">
        <f t="shared" si="172"/>
        <v>100</v>
      </c>
      <c r="BJ155" s="585">
        <f t="shared" si="146"/>
        <v>0</v>
      </c>
      <c r="BK155" s="585"/>
      <c r="BL155" s="532">
        <f t="shared" si="173"/>
        <v>0.55000000000000004</v>
      </c>
      <c r="BM155" s="532">
        <f t="shared" si="174"/>
        <v>0.55000000000000004</v>
      </c>
      <c r="BN155" s="532">
        <f t="shared" si="175"/>
        <v>0.55000000000000004</v>
      </c>
      <c r="BO155" s="594">
        <f t="shared" si="147"/>
        <v>0</v>
      </c>
      <c r="BP155" s="532"/>
      <c r="BQ155" s="532"/>
      <c r="BR155" s="532"/>
      <c r="BS155" s="532"/>
      <c r="BT155" s="532"/>
      <c r="BU155" s="532"/>
      <c r="BV155" s="532"/>
      <c r="BW155" s="532"/>
      <c r="BX155" s="532"/>
      <c r="BY155" s="532"/>
      <c r="BZ155" s="560"/>
      <c r="CA155" s="560"/>
      <c r="CB155" s="560"/>
      <c r="CC155" s="590"/>
      <c r="CD155" s="532"/>
      <c r="CE155" s="532"/>
      <c r="CF155" s="566"/>
      <c r="CG155" s="566"/>
      <c r="CH155" s="566"/>
      <c r="CI155" s="566"/>
      <c r="CJ155" s="532"/>
      <c r="CK155" s="532"/>
      <c r="CL155" s="532"/>
      <c r="CM155" s="532"/>
      <c r="CN155" s="532"/>
      <c r="CO155" s="532"/>
      <c r="CP155" s="532"/>
      <c r="CQ155" s="532"/>
      <c r="CR155" s="532"/>
      <c r="CS155" s="532"/>
      <c r="CT155" s="532"/>
      <c r="CU155" s="560"/>
      <c r="CV155" s="560"/>
      <c r="CW155" s="585"/>
      <c r="CX155" s="585"/>
      <c r="CY155" s="532"/>
      <c r="CZ155" s="532"/>
      <c r="DA155" s="532"/>
      <c r="DB155" s="532"/>
      <c r="DC155" s="532"/>
      <c r="DD155" s="532"/>
      <c r="DE155" s="532"/>
      <c r="DF155" s="20"/>
      <c r="DG155" s="20"/>
      <c r="DH155" s="20"/>
      <c r="DI155" s="20"/>
      <c r="DJ155" s="20"/>
      <c r="DK155" s="19"/>
      <c r="DL155" s="19"/>
      <c r="DM155" s="19"/>
      <c r="DN155" s="19"/>
      <c r="DO155" s="19"/>
      <c r="DP155" s="19"/>
      <c r="DQ155" s="19"/>
      <c r="DR155" s="19"/>
      <c r="DS155" s="19"/>
      <c r="DT155" s="19"/>
      <c r="DU155" s="19"/>
      <c r="DV155" s="19"/>
      <c r="DW155" s="19"/>
      <c r="DX155" s="19"/>
      <c r="DY155" s="19"/>
      <c r="DZ155" s="19"/>
      <c r="EA155" s="19"/>
      <c r="EB155" s="19"/>
      <c r="EC155" s="20"/>
      <c r="ED155" s="20"/>
      <c r="EE155" s="20"/>
      <c r="EF155" s="20"/>
      <c r="EG155" s="20"/>
      <c r="EH155" s="20"/>
      <c r="EI155" s="20"/>
      <c r="EJ155" s="20"/>
    </row>
    <row r="156" spans="1:140" ht="15.75" customHeight="1" thickBot="1" x14ac:dyDescent="0.25">
      <c r="A156" s="1216" t="s">
        <v>1258</v>
      </c>
      <c r="B156" s="1217"/>
      <c r="C156" s="1432"/>
      <c r="D156" s="1218">
        <f>SUM(D137:D155,D113:D131)</f>
        <v>0</v>
      </c>
      <c r="E156" s="406"/>
      <c r="F156" s="406"/>
      <c r="G156" s="458"/>
      <c r="H156" s="406"/>
      <c r="I156" s="406"/>
      <c r="J156" s="406"/>
      <c r="K156" s="406"/>
      <c r="L156" s="406"/>
      <c r="M156" s="406"/>
      <c r="N156" s="20"/>
      <c r="P156" s="633" t="s">
        <v>923</v>
      </c>
      <c r="Q156" s="1067">
        <f t="shared" ref="Q156:W156" si="176">SUM(Q113:Q132,Q137:Q155)</f>
        <v>0</v>
      </c>
      <c r="R156" s="1067">
        <f t="shared" si="176"/>
        <v>0</v>
      </c>
      <c r="S156" s="1067">
        <f t="shared" si="176"/>
        <v>0</v>
      </c>
      <c r="T156" s="1067">
        <f t="shared" si="176"/>
        <v>0</v>
      </c>
      <c r="U156" s="1040">
        <f t="shared" si="176"/>
        <v>0</v>
      </c>
      <c r="V156" s="1040">
        <f t="shared" si="176"/>
        <v>0</v>
      </c>
      <c r="W156" s="1040">
        <f t="shared" si="176"/>
        <v>0</v>
      </c>
      <c r="X156" s="1040"/>
      <c r="Y156" s="1067">
        <f>SUM(Y113:Y132,Y137:Y155)</f>
        <v>0</v>
      </c>
      <c r="Z156" s="1040"/>
      <c r="AA156" s="1040"/>
      <c r="AB156" s="1040"/>
      <c r="AC156" s="1040">
        <f>SUM(AC113:AC132,AC137:AC155)</f>
        <v>0</v>
      </c>
      <c r="AD156" s="1040"/>
      <c r="AE156" s="1040"/>
      <c r="AF156" s="1040">
        <f>SUM(AF113:AF132,AF137:AF155)</f>
        <v>0</v>
      </c>
      <c r="AG156" s="1040">
        <f>SUM(AG113:AG132,AG137:AG155)</f>
        <v>0</v>
      </c>
      <c r="AH156" s="1068" t="e">
        <f>+(S156-AF156)/((S156+T156)-AC156)*100</f>
        <v>#DIV/0!</v>
      </c>
      <c r="AI156" s="1040"/>
      <c r="AJ156" s="1040"/>
      <c r="AK156" s="1040"/>
      <c r="AL156" s="1040">
        <f t="shared" ref="AL156:AU156" si="177">SUM(AL113:AL132,AL137:AL155)</f>
        <v>0</v>
      </c>
      <c r="AM156" s="1040">
        <f t="shared" si="177"/>
        <v>0</v>
      </c>
      <c r="AN156" s="1040">
        <f t="shared" si="177"/>
        <v>0</v>
      </c>
      <c r="AO156" s="1040">
        <f t="shared" si="177"/>
        <v>0</v>
      </c>
      <c r="AP156" s="1040">
        <f t="shared" si="177"/>
        <v>0</v>
      </c>
      <c r="AQ156" s="1040">
        <f t="shared" si="177"/>
        <v>0</v>
      </c>
      <c r="AR156" s="1040">
        <f t="shared" si="177"/>
        <v>0</v>
      </c>
      <c r="AS156" s="1040">
        <f t="shared" si="177"/>
        <v>0</v>
      </c>
      <c r="AT156" s="1040">
        <f t="shared" si="177"/>
        <v>0</v>
      </c>
      <c r="AU156" s="1040">
        <f t="shared" si="177"/>
        <v>0</v>
      </c>
      <c r="AV156" s="585"/>
      <c r="AW156" s="585"/>
      <c r="AX156" s="585"/>
      <c r="AY156" s="585"/>
      <c r="AZ156" s="585"/>
      <c r="BA156" s="585"/>
      <c r="BB156" s="585"/>
      <c r="BC156" s="585"/>
      <c r="BD156" s="585"/>
      <c r="BE156" s="585"/>
      <c r="BF156" s="585"/>
      <c r="BG156" s="1040">
        <f>SUM(BG113:BG132,BG137:BG155)</f>
        <v>0</v>
      </c>
      <c r="BH156" s="1040">
        <f>SUM(BH113:BH132,BH137:BH155)</f>
        <v>0</v>
      </c>
      <c r="BI156" s="585"/>
      <c r="BJ156" s="585">
        <f>SUM(BJ113:BJ155)</f>
        <v>0</v>
      </c>
      <c r="BK156" s="585"/>
      <c r="BL156" s="532"/>
      <c r="BM156" s="532"/>
      <c r="BN156" s="532"/>
      <c r="BO156" s="594">
        <f>SUM(BO137:BO155,BO113:BO133)</f>
        <v>0</v>
      </c>
      <c r="BP156" s="532"/>
      <c r="BQ156" s="532"/>
      <c r="BR156" s="532"/>
      <c r="BS156" s="532"/>
      <c r="BT156" s="532"/>
      <c r="BU156" s="532"/>
      <c r="BV156" s="532"/>
      <c r="BW156" s="532"/>
      <c r="BX156" s="532"/>
      <c r="BY156" s="532"/>
      <c r="BZ156" s="560"/>
      <c r="CA156" s="560"/>
      <c r="CB156" s="560"/>
      <c r="CC156" s="590"/>
      <c r="CD156" s="532"/>
      <c r="CE156" s="532"/>
      <c r="CF156" s="566"/>
      <c r="CG156" s="566"/>
      <c r="CH156" s="566"/>
      <c r="CI156" s="566"/>
      <c r="CJ156" s="532"/>
      <c r="CK156" s="532"/>
      <c r="CL156" s="532"/>
      <c r="CM156" s="532"/>
      <c r="CN156" s="532"/>
      <c r="CO156" s="532"/>
      <c r="CP156" s="532"/>
      <c r="CQ156" s="532"/>
      <c r="CR156" s="532"/>
      <c r="CS156" s="532"/>
      <c r="CT156" s="532"/>
      <c r="CU156" s="560"/>
      <c r="CV156" s="560"/>
      <c r="CW156" s="585"/>
      <c r="CX156" s="585"/>
      <c r="CY156" s="532"/>
      <c r="CZ156" s="532"/>
      <c r="DA156" s="532"/>
      <c r="DB156" s="532"/>
      <c r="DC156" s="532"/>
      <c r="DD156" s="532"/>
      <c r="DE156" s="532"/>
      <c r="DF156" s="20"/>
      <c r="DG156" s="20"/>
      <c r="DH156" s="20"/>
      <c r="DI156" s="20"/>
      <c r="DJ156" s="20"/>
      <c r="DK156" s="19"/>
      <c r="DL156" s="19"/>
      <c r="DM156" s="19"/>
      <c r="DN156" s="19"/>
      <c r="DO156" s="19"/>
      <c r="DP156" s="19"/>
      <c r="DQ156" s="19"/>
      <c r="DR156" s="19"/>
      <c r="DS156" s="19"/>
      <c r="DT156" s="19"/>
      <c r="DU156" s="19"/>
      <c r="DV156" s="19"/>
      <c r="DW156" s="19"/>
      <c r="DX156" s="19"/>
      <c r="DY156" s="19"/>
      <c r="DZ156" s="19"/>
      <c r="EA156" s="19"/>
      <c r="EB156" s="19"/>
      <c r="EC156" s="20"/>
      <c r="ED156" s="20"/>
      <c r="EE156" s="20"/>
      <c r="EF156" s="20"/>
      <c r="EG156" s="20"/>
      <c r="EH156" s="20"/>
      <c r="EI156" s="20"/>
      <c r="EJ156" s="20"/>
    </row>
    <row r="157" spans="1:140" ht="15.75" customHeight="1" x14ac:dyDescent="0.2">
      <c r="A157" s="406"/>
      <c r="B157" s="406"/>
      <c r="C157" s="406"/>
      <c r="D157" s="406"/>
      <c r="E157" s="406"/>
      <c r="F157" s="406"/>
      <c r="G157" s="458"/>
      <c r="H157" s="406"/>
      <c r="I157" s="406"/>
      <c r="J157" s="406"/>
      <c r="K157" s="406"/>
      <c r="L157" s="406"/>
      <c r="M157" s="406"/>
      <c r="N157" s="20"/>
      <c r="P157" s="406" t="s">
        <v>900</v>
      </c>
      <c r="Q157" s="1040">
        <f>+DY88+EA88</f>
        <v>0</v>
      </c>
      <c r="R157" s="1040">
        <f>+DZ88+EB88</f>
        <v>0</v>
      </c>
      <c r="S157" s="566">
        <f>+ED88</f>
        <v>0</v>
      </c>
      <c r="T157" s="566">
        <f>+EE88</f>
        <v>0</v>
      </c>
      <c r="U157" s="532"/>
      <c r="V157" s="532"/>
      <c r="W157" s="532"/>
      <c r="X157" s="532"/>
      <c r="Y157" s="566">
        <f>+EG88</f>
        <v>0</v>
      </c>
      <c r="Z157" s="532"/>
      <c r="AA157" s="532"/>
      <c r="AB157" s="532"/>
      <c r="AC157" s="566">
        <f>+EK88</f>
        <v>0</v>
      </c>
      <c r="AD157" s="532"/>
      <c r="AE157" s="532"/>
      <c r="AF157" s="566">
        <f>+EN88</f>
        <v>0</v>
      </c>
      <c r="AG157" s="566">
        <f>+EO88</f>
        <v>0</v>
      </c>
      <c r="AH157" s="1068" t="e">
        <f>+(S157-AF157)/((S157+T157)-AC157)*100</f>
        <v>#DIV/0!</v>
      </c>
      <c r="AI157" s="532"/>
      <c r="AJ157" s="532"/>
      <c r="AK157" s="532"/>
      <c r="AL157" s="532"/>
      <c r="AM157" s="532"/>
      <c r="AN157" s="532"/>
      <c r="AO157" s="585"/>
      <c r="AP157" s="585"/>
      <c r="AQ157" s="585"/>
      <c r="AR157" s="585"/>
      <c r="AS157" s="585"/>
      <c r="AT157" s="585"/>
      <c r="AU157" s="585"/>
      <c r="AV157" s="585"/>
      <c r="AW157" s="585"/>
      <c r="AX157" s="585"/>
      <c r="AY157" s="585"/>
      <c r="AZ157" s="585"/>
      <c r="BA157" s="585"/>
      <c r="BB157" s="585"/>
      <c r="BC157" s="585"/>
      <c r="BD157" s="585"/>
      <c r="BE157" s="585"/>
      <c r="BF157" s="585"/>
      <c r="BG157" s="585"/>
      <c r="BH157" s="585"/>
      <c r="BI157" s="585"/>
      <c r="BJ157" s="585"/>
      <c r="BK157" s="585"/>
      <c r="BL157" s="532"/>
      <c r="BM157" s="532"/>
      <c r="BN157" s="532" t="s">
        <v>1005</v>
      </c>
      <c r="BO157" s="1181">
        <f>IF(U156=0,0,BO156/U156)</f>
        <v>0</v>
      </c>
      <c r="BP157" s="532"/>
      <c r="BQ157" s="532"/>
      <c r="BR157" s="532"/>
      <c r="BS157" s="532"/>
      <c r="BT157" s="532"/>
      <c r="BU157" s="532"/>
      <c r="BV157" s="532"/>
      <c r="BW157" s="532"/>
      <c r="BX157" s="532"/>
      <c r="BY157" s="532"/>
      <c r="BZ157" s="560"/>
      <c r="CA157" s="560"/>
      <c r="CB157" s="560"/>
      <c r="CC157" s="590"/>
      <c r="CD157" s="532"/>
      <c r="CE157" s="532"/>
      <c r="CF157" s="566"/>
      <c r="CG157" s="566"/>
      <c r="CH157" s="566"/>
      <c r="CI157" s="566"/>
      <c r="CJ157" s="532"/>
      <c r="CK157" s="532"/>
      <c r="CL157" s="532"/>
      <c r="CM157" s="532"/>
      <c r="CN157" s="532"/>
      <c r="CO157" s="532"/>
      <c r="CP157" s="532"/>
      <c r="CQ157" s="532"/>
      <c r="CR157" s="532"/>
      <c r="CS157" s="532"/>
      <c r="CT157" s="532"/>
      <c r="CU157" s="560"/>
      <c r="CV157" s="560"/>
      <c r="CW157" s="585"/>
      <c r="CX157" s="585"/>
      <c r="CY157" s="532"/>
      <c r="CZ157" s="532"/>
      <c r="DA157" s="532"/>
      <c r="DB157" s="532"/>
      <c r="DC157" s="532"/>
      <c r="DD157" s="532"/>
      <c r="DE157" s="532"/>
      <c r="DF157" s="20"/>
      <c r="DG157" s="20"/>
      <c r="DH157" s="20"/>
      <c r="DI157" s="20"/>
      <c r="DJ157" s="20"/>
      <c r="DK157" s="19"/>
      <c r="DL157" s="19"/>
      <c r="DM157" s="19"/>
      <c r="DN157" s="19"/>
      <c r="DO157" s="19"/>
      <c r="DP157" s="19"/>
      <c r="DQ157" s="19"/>
      <c r="DR157" s="19"/>
      <c r="DS157" s="19"/>
      <c r="DT157" s="19"/>
      <c r="DU157" s="19"/>
      <c r="DV157" s="19"/>
      <c r="DW157" s="19"/>
      <c r="DX157" s="19"/>
      <c r="DY157" s="19"/>
      <c r="DZ157" s="19"/>
      <c r="EA157" s="19"/>
      <c r="EB157" s="19"/>
      <c r="EC157" s="20"/>
      <c r="ED157" s="20"/>
      <c r="EE157" s="20"/>
      <c r="EF157" s="20"/>
      <c r="EG157" s="20"/>
      <c r="EH157" s="20"/>
      <c r="EI157" s="20"/>
      <c r="EJ157" s="20"/>
    </row>
    <row r="158" spans="1:140" ht="15.75" customHeight="1" x14ac:dyDescent="0.2">
      <c r="A158" s="406"/>
      <c r="B158" s="406"/>
      <c r="C158" s="406"/>
      <c r="D158" s="406"/>
      <c r="E158" s="406"/>
      <c r="F158" s="406"/>
      <c r="G158" s="406"/>
      <c r="H158" s="406"/>
      <c r="I158" s="406"/>
      <c r="J158" s="406"/>
      <c r="K158" s="406"/>
      <c r="L158" s="406"/>
      <c r="M158" s="406"/>
      <c r="N158" s="20"/>
      <c r="P158" s="406" t="s">
        <v>643</v>
      </c>
      <c r="Q158" s="1040">
        <f>+Q157+Q156</f>
        <v>0</v>
      </c>
      <c r="R158" s="1040">
        <f>+R157+R156</f>
        <v>0</v>
      </c>
      <c r="S158" s="1040">
        <f>+S157+S156</f>
        <v>0</v>
      </c>
      <c r="T158" s="1040">
        <f>+T157+T156</f>
        <v>0</v>
      </c>
      <c r="U158" s="532"/>
      <c r="V158" s="532"/>
      <c r="W158" s="532"/>
      <c r="X158" s="532"/>
      <c r="Y158" s="1040">
        <f>+Y157+Y156</f>
        <v>0</v>
      </c>
      <c r="Z158" s="532"/>
      <c r="AA158" s="532"/>
      <c r="AB158" s="532"/>
      <c r="AC158" s="1040">
        <f>+AC157+AC156</f>
        <v>0</v>
      </c>
      <c r="AD158" s="532"/>
      <c r="AE158" s="532"/>
      <c r="AF158" s="1040">
        <f>+AF157+AF156</f>
        <v>0</v>
      </c>
      <c r="AG158" s="1040">
        <f>+AG157+AG156</f>
        <v>0</v>
      </c>
      <c r="AH158" s="1068" t="e">
        <f>+(S158-AF158)/((S158+T158)-AC158)*100</f>
        <v>#DIV/0!</v>
      </c>
      <c r="AI158" s="532"/>
      <c r="AJ158" s="532"/>
      <c r="AK158" s="532"/>
      <c r="AL158" s="532"/>
      <c r="AM158" s="532"/>
      <c r="AN158" s="532"/>
      <c r="AO158" s="532"/>
      <c r="AP158" s="532"/>
      <c r="AQ158" s="585"/>
      <c r="AR158" s="585"/>
      <c r="AS158" s="585"/>
      <c r="AT158" s="585"/>
      <c r="AU158" s="585"/>
      <c r="AV158" s="585"/>
      <c r="AW158" s="585"/>
      <c r="AX158" s="585"/>
      <c r="AY158" s="585"/>
      <c r="AZ158" s="585"/>
      <c r="BA158" s="585"/>
      <c r="BB158" s="585"/>
      <c r="BC158" s="585"/>
      <c r="BD158" s="585"/>
      <c r="BE158" s="585"/>
      <c r="BF158" s="585"/>
      <c r="BG158" s="585"/>
      <c r="BH158" s="585"/>
      <c r="BI158" s="585"/>
      <c r="BJ158" s="585"/>
      <c r="BK158" s="585"/>
      <c r="BL158" s="585"/>
      <c r="BM158" s="585"/>
      <c r="BN158" s="532"/>
      <c r="BO158" s="532"/>
      <c r="BP158" s="532"/>
      <c r="BQ158" s="532"/>
      <c r="BR158" s="532"/>
      <c r="BS158" s="532"/>
      <c r="BT158" s="532"/>
      <c r="BU158" s="532"/>
      <c r="BV158" s="532"/>
      <c r="BW158" s="532"/>
      <c r="BX158" s="532"/>
      <c r="BY158" s="532"/>
      <c r="BZ158" s="532"/>
      <c r="CA158" s="532"/>
      <c r="CB158" s="560"/>
      <c r="CC158" s="560"/>
      <c r="CD158" s="560"/>
      <c r="CE158" s="590"/>
      <c r="CF158" s="532"/>
      <c r="CG158" s="566"/>
      <c r="CH158" s="566"/>
      <c r="CI158" s="566"/>
      <c r="CJ158" s="566"/>
      <c r="CK158" s="566"/>
      <c r="CL158" s="532"/>
      <c r="CM158" s="532"/>
      <c r="CN158" s="532"/>
      <c r="CO158" s="532"/>
      <c r="CP158" s="532"/>
      <c r="CQ158" s="532"/>
      <c r="CR158" s="532"/>
      <c r="CS158" s="532"/>
      <c r="CT158" s="532"/>
      <c r="CU158" s="532"/>
      <c r="CV158" s="532"/>
      <c r="CW158" s="560"/>
      <c r="CX158" s="560"/>
      <c r="CY158" s="585"/>
      <c r="CZ158" s="585"/>
      <c r="DA158" s="585"/>
      <c r="DB158" s="585"/>
      <c r="DC158" s="585"/>
      <c r="DD158" s="532"/>
      <c r="DE158" s="532"/>
      <c r="DF158" s="532"/>
      <c r="DG158" s="532"/>
      <c r="DH158" s="532"/>
      <c r="DI158" s="532"/>
      <c r="DJ158" s="532"/>
      <c r="DK158" s="20"/>
      <c r="DL158" s="20"/>
      <c r="DM158" s="19"/>
      <c r="DN158" s="19"/>
      <c r="DO158" s="19"/>
      <c r="DP158" s="19"/>
      <c r="DQ158" s="19"/>
      <c r="DR158" s="19"/>
      <c r="DS158" s="19"/>
      <c r="DT158" s="19"/>
      <c r="DU158" s="19"/>
      <c r="DV158" s="19"/>
      <c r="DW158" s="19"/>
      <c r="DX158" s="19"/>
      <c r="DY158" s="19"/>
      <c r="DZ158" s="19"/>
      <c r="EA158" s="19"/>
      <c r="EB158" s="19"/>
      <c r="EC158" s="19"/>
      <c r="ED158" s="19"/>
      <c r="EE158" s="20"/>
      <c r="EF158" s="20"/>
      <c r="EG158" s="20"/>
      <c r="EH158" s="20"/>
      <c r="EI158" s="20"/>
      <c r="EJ158" s="20"/>
    </row>
    <row r="159" spans="1:140" ht="15.75" customHeight="1" x14ac:dyDescent="0.2">
      <c r="A159" s="406"/>
      <c r="B159" s="406"/>
      <c r="C159" s="406"/>
      <c r="D159" s="406"/>
      <c r="E159" s="406"/>
      <c r="F159" s="406"/>
      <c r="G159" s="406"/>
      <c r="H159" s="406"/>
      <c r="I159" s="406"/>
      <c r="J159" s="406"/>
      <c r="K159" s="406"/>
      <c r="L159" s="406"/>
      <c r="M159" s="406"/>
      <c r="N159" s="20"/>
      <c r="P159" s="406" t="s">
        <v>901</v>
      </c>
      <c r="Q159" s="1040"/>
      <c r="R159" s="1040"/>
      <c r="S159" s="1040">
        <f>+AF159</f>
        <v>0</v>
      </c>
      <c r="T159" s="1040">
        <f>+AG159</f>
        <v>0</v>
      </c>
      <c r="U159" s="532"/>
      <c r="V159" s="532"/>
      <c r="W159" s="532"/>
      <c r="X159" s="532"/>
      <c r="Y159" s="1040">
        <f>+Y158</f>
        <v>0</v>
      </c>
      <c r="Z159" s="532"/>
      <c r="AA159" s="532"/>
      <c r="AB159" s="532"/>
      <c r="AC159" s="532">
        <f>+AC158*(1+$H$179/100)</f>
        <v>0</v>
      </c>
      <c r="AD159" s="532"/>
      <c r="AE159" s="532"/>
      <c r="AF159" s="532">
        <f>+AF158*(1+$H$179/100)</f>
        <v>0</v>
      </c>
      <c r="AG159" s="532">
        <f>+AG158*(1+$H$179/100)</f>
        <v>0</v>
      </c>
      <c r="AH159" s="676"/>
      <c r="AI159" s="532"/>
      <c r="AJ159" s="532"/>
      <c r="AK159" s="532"/>
      <c r="AL159" s="585"/>
      <c r="AM159" s="585"/>
      <c r="AN159" s="585"/>
      <c r="AO159" s="585"/>
      <c r="AP159" s="585"/>
      <c r="AQ159" s="585"/>
      <c r="AR159" s="585"/>
      <c r="AS159" s="585"/>
      <c r="AT159" s="585"/>
      <c r="AU159" s="585"/>
      <c r="AV159" s="585"/>
      <c r="AW159" s="585"/>
      <c r="AX159" s="585"/>
      <c r="AY159" s="585"/>
      <c r="AZ159" s="585"/>
      <c r="BA159" s="585"/>
      <c r="BB159" s="585"/>
      <c r="BC159" s="585"/>
      <c r="BD159" s="585"/>
      <c r="BE159" s="585"/>
      <c r="BF159" s="585"/>
      <c r="BG159" s="585"/>
      <c r="BH159" s="585"/>
      <c r="BI159" s="532"/>
      <c r="BJ159" s="532"/>
      <c r="BK159" s="532"/>
      <c r="BL159" s="532"/>
      <c r="BM159" s="532"/>
      <c r="BN159" s="532"/>
      <c r="BO159" s="532"/>
      <c r="BP159" s="532"/>
      <c r="BQ159" s="532"/>
      <c r="BR159" s="532"/>
      <c r="BS159" s="532"/>
      <c r="BT159" s="532"/>
      <c r="BU159" s="532"/>
      <c r="BV159" s="532"/>
      <c r="BW159" s="560"/>
      <c r="BX159" s="560"/>
      <c r="BY159" s="560"/>
      <c r="BZ159" s="590"/>
      <c r="CA159" s="532"/>
      <c r="CB159" s="532"/>
      <c r="CC159" s="532"/>
      <c r="CD159" s="566"/>
      <c r="CE159" s="566"/>
      <c r="CF159" s="566"/>
      <c r="CG159" s="532"/>
      <c r="CH159" s="532"/>
      <c r="CI159" s="532"/>
      <c r="CJ159" s="532"/>
      <c r="CK159" s="532"/>
      <c r="CL159" s="532"/>
      <c r="CM159" s="532"/>
      <c r="CN159" s="532"/>
      <c r="CO159" s="532"/>
      <c r="CP159" s="532"/>
      <c r="CQ159" s="532"/>
      <c r="CR159" s="560"/>
      <c r="CS159" s="560"/>
      <c r="CT159" s="585"/>
      <c r="CU159" s="585"/>
      <c r="CV159" s="532"/>
      <c r="CW159" s="532"/>
      <c r="CX159" s="532"/>
      <c r="CY159" s="532"/>
      <c r="CZ159" s="532"/>
      <c r="DA159" s="532"/>
      <c r="DB159" s="532"/>
      <c r="DC159" s="20"/>
      <c r="DD159" s="20"/>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20"/>
      <c r="EA159" s="20"/>
      <c r="EB159" s="20"/>
      <c r="EC159" s="20"/>
      <c r="ED159" s="20"/>
      <c r="EE159" s="20"/>
    </row>
    <row r="160" spans="1:140" s="458" customFormat="1" ht="15.75" customHeight="1" x14ac:dyDescent="0.2">
      <c r="A160" s="28"/>
      <c r="B160" s="28"/>
      <c r="C160" s="28"/>
      <c r="D160" s="28"/>
      <c r="E160" s="21"/>
      <c r="F160" s="21"/>
      <c r="G160" s="21"/>
      <c r="H160" s="21"/>
      <c r="I160" s="21"/>
      <c r="J160" s="22"/>
      <c r="K160" s="22"/>
      <c r="L160" s="21"/>
      <c r="M160" s="21"/>
      <c r="N160" s="20"/>
      <c r="O160" s="517"/>
      <c r="P160" s="536"/>
      <c r="Q160" s="532"/>
      <c r="R160" s="532"/>
      <c r="S160" s="532"/>
      <c r="T160" s="532"/>
      <c r="U160" s="532"/>
      <c r="V160" s="532"/>
      <c r="W160" s="532"/>
      <c r="X160" s="532"/>
      <c r="Y160" s="532"/>
      <c r="Z160" s="585"/>
      <c r="AA160" s="585"/>
      <c r="AB160" s="585"/>
      <c r="AC160" s="585"/>
      <c r="AD160" s="585"/>
      <c r="AE160" s="585"/>
      <c r="AF160" s="585"/>
      <c r="AG160" s="585"/>
      <c r="AH160" s="585"/>
      <c r="AI160" s="585"/>
      <c r="AJ160" s="585"/>
      <c r="AK160" s="585"/>
      <c r="AL160" s="585"/>
      <c r="AM160" s="585"/>
      <c r="AN160" s="585"/>
      <c r="AO160" s="585"/>
      <c r="AP160" s="585"/>
      <c r="AQ160" s="585"/>
      <c r="AR160" s="585"/>
      <c r="AS160" s="585"/>
      <c r="AT160" s="585"/>
      <c r="AU160" s="585"/>
      <c r="AV160" s="585"/>
      <c r="AW160" s="532"/>
      <c r="AX160" s="532"/>
      <c r="AY160" s="532"/>
      <c r="AZ160" s="532"/>
      <c r="BA160" s="532"/>
      <c r="BB160" s="532"/>
      <c r="BC160" s="532"/>
      <c r="BD160" s="532"/>
      <c r="BE160" s="532"/>
      <c r="BF160" s="532"/>
      <c r="BG160" s="532"/>
      <c r="BH160" s="532"/>
      <c r="BI160" s="532"/>
      <c r="BJ160" s="532"/>
      <c r="BK160" s="560"/>
      <c r="BL160" s="560"/>
      <c r="BM160" s="560"/>
      <c r="BN160" s="590"/>
      <c r="BO160" s="532"/>
      <c r="BP160" s="532"/>
      <c r="BQ160" s="532"/>
      <c r="BR160" s="566"/>
      <c r="BS160" s="566"/>
      <c r="BT160" s="566"/>
      <c r="BU160" s="566"/>
      <c r="BV160" s="566"/>
      <c r="BW160" s="532"/>
      <c r="BX160" s="532"/>
      <c r="BY160" s="532"/>
      <c r="BZ160" s="532"/>
      <c r="CA160" s="532"/>
      <c r="CB160" s="532"/>
      <c r="CC160" s="532"/>
      <c r="CD160" s="532"/>
      <c r="CE160" s="532"/>
      <c r="CF160" s="532"/>
      <c r="CG160" s="560"/>
      <c r="CH160" s="32"/>
      <c r="CJ160" s="532"/>
      <c r="CK160" s="532"/>
      <c r="CL160" s="532"/>
      <c r="CM160" s="532"/>
      <c r="CN160" s="20"/>
      <c r="CO160" s="20"/>
      <c r="CP160" s="19"/>
      <c r="CQ160" s="19"/>
      <c r="CR160" s="19"/>
      <c r="CS160" s="19"/>
      <c r="CT160" s="19"/>
      <c r="CU160" s="19"/>
      <c r="CV160" s="19"/>
      <c r="CW160" s="19"/>
      <c r="CX160" s="19"/>
      <c r="CY160" s="19"/>
      <c r="CZ160" s="19"/>
      <c r="DA160" s="19"/>
      <c r="DB160" s="19"/>
      <c r="DC160" s="19"/>
      <c r="DD160" s="19"/>
      <c r="DE160" s="19"/>
      <c r="DF160" s="20"/>
      <c r="DG160" s="20"/>
      <c r="DH160" s="20"/>
      <c r="DI160" s="20"/>
      <c r="DJ160" s="20"/>
      <c r="DK160" s="20"/>
      <c r="DL160" s="20"/>
      <c r="DM160" s="20"/>
      <c r="DN160" s="20"/>
    </row>
    <row r="161" spans="1:118" ht="16.5" customHeight="1" x14ac:dyDescent="0.2">
      <c r="A161" s="1108" t="s">
        <v>1056</v>
      </c>
      <c r="B161" s="697"/>
      <c r="C161" s="697"/>
      <c r="D161" s="697"/>
      <c r="E161" s="697"/>
      <c r="F161" s="697"/>
      <c r="G161" s="697"/>
      <c r="H161" s="697"/>
      <c r="I161" s="697"/>
      <c r="J161" s="697"/>
      <c r="K161" s="697"/>
      <c r="L161" s="697"/>
      <c r="M161" s="697"/>
      <c r="N161" s="20"/>
      <c r="O161" s="517" t="s">
        <v>394</v>
      </c>
      <c r="P161" s="542" t="s">
        <v>348</v>
      </c>
      <c r="Q161" s="532" t="s">
        <v>357</v>
      </c>
      <c r="R161" s="533" t="s">
        <v>357</v>
      </c>
      <c r="S161" s="532"/>
      <c r="T161" s="532"/>
      <c r="U161" s="532"/>
      <c r="V161" s="532"/>
      <c r="W161" s="532"/>
      <c r="X161" s="532"/>
      <c r="Y161" s="533" t="s">
        <v>915</v>
      </c>
      <c r="Z161" s="585"/>
      <c r="AA161" s="585"/>
      <c r="AB161" s="585"/>
      <c r="AC161" s="585"/>
      <c r="AD161" s="585"/>
      <c r="AE161" s="585"/>
      <c r="AF161" s="585"/>
      <c r="AG161" s="585"/>
      <c r="AH161" s="585"/>
      <c r="AI161" s="585"/>
      <c r="AJ161" s="585"/>
      <c r="AK161" s="585"/>
      <c r="AL161" s="585"/>
      <c r="AM161" s="585"/>
      <c r="AN161" s="585"/>
      <c r="AO161" s="585"/>
      <c r="AP161" s="585"/>
      <c r="AQ161" s="585"/>
      <c r="AR161" s="585"/>
      <c r="AS161" s="585"/>
      <c r="AT161" s="585"/>
      <c r="AU161" s="585"/>
      <c r="AV161" s="585"/>
      <c r="AW161" s="532"/>
      <c r="AX161" s="532"/>
      <c r="AY161" s="532"/>
      <c r="AZ161" s="532"/>
      <c r="BA161" s="532"/>
      <c r="BB161" s="532"/>
      <c r="BC161" s="532"/>
      <c r="BD161" s="532"/>
      <c r="BE161" s="532"/>
      <c r="BF161" s="532"/>
      <c r="BG161" s="532"/>
      <c r="BH161" s="532"/>
      <c r="BI161" s="532"/>
      <c r="BJ161" s="532"/>
      <c r="BK161" s="560"/>
      <c r="BL161" s="560"/>
      <c r="BM161" s="560"/>
      <c r="BN161" s="590"/>
      <c r="BO161" s="532"/>
      <c r="BP161" s="532"/>
      <c r="BQ161" s="532"/>
      <c r="BR161" s="566"/>
      <c r="BS161" s="566"/>
      <c r="BT161" s="566"/>
      <c r="BU161" s="566"/>
      <c r="BV161" s="566"/>
      <c r="BW161" s="532"/>
      <c r="BX161" s="532"/>
      <c r="BY161" s="532"/>
      <c r="BZ161" s="532"/>
      <c r="CA161" s="532"/>
      <c r="CB161" s="532"/>
      <c r="CC161" s="532"/>
      <c r="CD161" s="532"/>
      <c r="CE161" s="532"/>
      <c r="CF161" s="532"/>
      <c r="CG161" s="560"/>
      <c r="CH161" s="32"/>
      <c r="CI161" s="458"/>
      <c r="CJ161" s="532"/>
      <c r="CK161" s="532"/>
      <c r="CL161" s="532"/>
      <c r="CM161" s="532"/>
      <c r="CN161" s="20"/>
      <c r="CO161" s="20"/>
      <c r="CP161" s="19"/>
      <c r="CQ161" s="19"/>
      <c r="CR161" s="19"/>
      <c r="CS161" s="19"/>
      <c r="CT161" s="19"/>
      <c r="CU161" s="19"/>
      <c r="CV161" s="19"/>
      <c r="CW161" s="19"/>
      <c r="CX161" s="19"/>
      <c r="CY161" s="19"/>
      <c r="CZ161" s="19"/>
      <c r="DA161" s="19"/>
      <c r="DB161" s="19"/>
      <c r="DC161" s="19"/>
      <c r="DD161" s="19"/>
      <c r="DE161" s="19"/>
      <c r="DF161" s="20"/>
      <c r="DG161" s="20"/>
      <c r="DH161" s="20"/>
      <c r="DI161" s="20"/>
      <c r="DJ161" s="20"/>
      <c r="DK161" s="20"/>
      <c r="DL161" s="20"/>
      <c r="DM161" s="20"/>
      <c r="DN161" s="20"/>
    </row>
    <row r="162" spans="1:118" ht="9.75" customHeight="1" thickBot="1" x14ac:dyDescent="0.25">
      <c r="A162" s="1226"/>
      <c r="B162" s="28"/>
      <c r="C162" s="28"/>
      <c r="D162" s="28"/>
      <c r="E162" s="28"/>
      <c r="F162" s="28"/>
      <c r="G162" s="28"/>
      <c r="H162" s="28"/>
      <c r="I162" s="28"/>
      <c r="J162" s="28"/>
      <c r="K162" s="28"/>
      <c r="L162" s="28"/>
      <c r="M162" s="28"/>
      <c r="N162" s="20"/>
      <c r="O162" s="517"/>
      <c r="P162" s="536"/>
      <c r="Q162" s="532"/>
      <c r="R162" s="533" t="s">
        <v>903</v>
      </c>
      <c r="S162" s="532"/>
      <c r="T162" s="532"/>
      <c r="U162" s="532"/>
      <c r="V162" s="532"/>
      <c r="W162" s="532"/>
      <c r="X162" s="532"/>
      <c r="Y162" s="533"/>
      <c r="Z162" s="585"/>
      <c r="AA162" s="585"/>
      <c r="AB162" s="585"/>
      <c r="AC162" s="585"/>
      <c r="AD162" s="585"/>
      <c r="AE162" s="585"/>
      <c r="AF162" s="585"/>
      <c r="AG162" s="585"/>
      <c r="AH162" s="585"/>
      <c r="AI162" s="585"/>
      <c r="AJ162" s="585"/>
      <c r="AK162" s="585"/>
      <c r="AL162" s="585"/>
      <c r="AM162" s="585"/>
      <c r="AN162" s="585"/>
      <c r="AO162" s="585"/>
      <c r="AP162" s="585"/>
      <c r="AQ162" s="585"/>
      <c r="AR162" s="585"/>
      <c r="AS162" s="585"/>
      <c r="AT162" s="585"/>
      <c r="AU162" s="585"/>
      <c r="AV162" s="585"/>
      <c r="AW162" s="532"/>
      <c r="AX162" s="532"/>
      <c r="AY162" s="532"/>
      <c r="AZ162" s="532"/>
      <c r="BA162" s="532"/>
      <c r="BB162" s="532"/>
      <c r="BC162" s="532"/>
      <c r="BD162" s="532"/>
      <c r="BE162" s="532"/>
      <c r="BF162" s="532"/>
      <c r="BG162" s="532"/>
      <c r="BH162" s="532"/>
      <c r="BI162" s="532"/>
      <c r="BJ162" s="532"/>
      <c r="BK162" s="560"/>
      <c r="BL162" s="560"/>
      <c r="BM162" s="560"/>
      <c r="BN162" s="590"/>
      <c r="BO162" s="532"/>
      <c r="BP162" s="532"/>
      <c r="BQ162" s="532"/>
      <c r="BR162" s="566"/>
      <c r="BS162" s="566"/>
      <c r="BT162" s="566"/>
      <c r="BU162" s="566"/>
      <c r="BV162" s="566"/>
      <c r="BW162" s="532"/>
      <c r="BX162" s="532"/>
      <c r="BY162" s="532"/>
      <c r="BZ162" s="532"/>
      <c r="CA162" s="532"/>
      <c r="CB162" s="532"/>
      <c r="CC162" s="532"/>
      <c r="CD162" s="532"/>
      <c r="CE162" s="532"/>
      <c r="CF162" s="532"/>
      <c r="CG162" s="560"/>
      <c r="CH162" s="32"/>
      <c r="CI162" s="458"/>
      <c r="CJ162" s="532"/>
      <c r="CK162" s="532"/>
      <c r="CL162" s="532"/>
      <c r="CM162" s="532"/>
      <c r="CN162" s="20"/>
      <c r="CO162" s="20"/>
      <c r="CP162" s="19"/>
      <c r="CQ162" s="19"/>
      <c r="CR162" s="19"/>
      <c r="CS162" s="19"/>
      <c r="CT162" s="19"/>
      <c r="CU162" s="19"/>
      <c r="CV162" s="19"/>
      <c r="CW162" s="19"/>
      <c r="CX162" s="19"/>
      <c r="CY162" s="19"/>
      <c r="CZ162" s="19"/>
      <c r="DA162" s="19"/>
      <c r="DB162" s="19"/>
      <c r="DC162" s="19"/>
      <c r="DD162" s="19"/>
      <c r="DE162" s="19"/>
      <c r="DF162" s="20"/>
      <c r="DG162" s="20"/>
      <c r="DH162" s="20"/>
      <c r="DI162" s="20"/>
      <c r="DJ162" s="20"/>
      <c r="DK162" s="20"/>
      <c r="DL162" s="20"/>
      <c r="DM162" s="20"/>
      <c r="DN162" s="20"/>
    </row>
    <row r="163" spans="1:118" ht="26.25" customHeight="1" thickBot="1" x14ac:dyDescent="0.25">
      <c r="A163" s="1433" t="s">
        <v>977</v>
      </c>
      <c r="B163" s="431"/>
      <c r="C163" s="431"/>
      <c r="D163" s="431"/>
      <c r="E163" s="431"/>
      <c r="F163" s="431"/>
      <c r="G163" s="431"/>
      <c r="H163" s="431"/>
      <c r="I163" s="431"/>
      <c r="J163" s="2127" t="s">
        <v>910</v>
      </c>
      <c r="K163" s="2128"/>
      <c r="L163" s="2127" t="s">
        <v>978</v>
      </c>
      <c r="M163" s="2128"/>
      <c r="N163" s="20"/>
      <c r="O163" s="517"/>
      <c r="P163" s="536"/>
      <c r="Q163" s="532"/>
      <c r="R163" s="532"/>
      <c r="S163" s="532"/>
      <c r="T163" s="532"/>
      <c r="U163" s="532"/>
      <c r="V163" s="532"/>
      <c r="W163" s="532"/>
      <c r="X163" s="532"/>
      <c r="Y163" s="533" t="s">
        <v>914</v>
      </c>
      <c r="Z163" s="585"/>
      <c r="AA163" s="585"/>
      <c r="AB163" s="585"/>
      <c r="AC163" s="585"/>
      <c r="AD163" s="585"/>
      <c r="AE163" s="585"/>
      <c r="AF163" s="585"/>
      <c r="AG163" s="585"/>
      <c r="AH163" s="585"/>
      <c r="AI163" s="585"/>
      <c r="AJ163" s="585"/>
      <c r="AK163" s="585"/>
      <c r="AL163" s="585"/>
      <c r="AM163" s="585"/>
      <c r="AN163" s="585"/>
      <c r="AO163" s="585"/>
      <c r="AP163" s="585"/>
      <c r="AQ163" s="585"/>
      <c r="AR163" s="585"/>
      <c r="AS163" s="585"/>
      <c r="AT163" s="585"/>
      <c r="AU163" s="585"/>
      <c r="AV163" s="585"/>
      <c r="AW163" s="532"/>
      <c r="AX163" s="532"/>
      <c r="AY163" s="532"/>
      <c r="AZ163" s="532"/>
      <c r="BA163" s="532"/>
      <c r="BB163" s="532"/>
      <c r="BC163" s="532"/>
      <c r="BD163" s="532"/>
      <c r="BE163" s="532"/>
      <c r="BF163" s="532"/>
      <c r="BG163" s="532"/>
      <c r="BH163" s="532"/>
      <c r="BI163" s="532"/>
      <c r="BJ163" s="532"/>
      <c r="BK163" s="560"/>
      <c r="BL163" s="560"/>
      <c r="BM163" s="560"/>
      <c r="BN163" s="590"/>
      <c r="BO163" s="532"/>
      <c r="BP163" s="532"/>
      <c r="BQ163" s="532"/>
      <c r="BR163" s="566"/>
      <c r="BS163" s="566"/>
      <c r="BT163" s="566"/>
      <c r="BU163" s="566"/>
      <c r="BV163" s="566"/>
      <c r="BW163" s="532"/>
      <c r="BX163" s="532"/>
      <c r="BY163" s="532"/>
      <c r="BZ163" s="532"/>
      <c r="CA163" s="532"/>
      <c r="CB163" s="532"/>
      <c r="CC163" s="532"/>
      <c r="CD163" s="532"/>
      <c r="CE163" s="532"/>
      <c r="CF163" s="532"/>
      <c r="CG163" s="560"/>
      <c r="CH163" s="32"/>
      <c r="CI163" s="458"/>
      <c r="CJ163" s="532"/>
      <c r="CK163" s="532"/>
      <c r="CL163" s="532"/>
      <c r="CM163" s="532"/>
      <c r="CN163" s="20"/>
      <c r="CO163" s="20"/>
      <c r="CP163" s="19"/>
      <c r="CQ163" s="19"/>
      <c r="CR163" s="19"/>
      <c r="CS163" s="19"/>
      <c r="CT163" s="19"/>
      <c r="CU163" s="19"/>
      <c r="CV163" s="19"/>
      <c r="CW163" s="19"/>
      <c r="CX163" s="19"/>
      <c r="CY163" s="19"/>
      <c r="CZ163" s="19"/>
      <c r="DA163" s="19"/>
      <c r="DB163" s="19"/>
      <c r="DC163" s="19"/>
      <c r="DD163" s="19"/>
      <c r="DE163" s="19"/>
      <c r="DF163" s="20"/>
      <c r="DG163" s="20"/>
      <c r="DH163" s="20"/>
      <c r="DI163" s="20"/>
      <c r="DJ163" s="20"/>
      <c r="DK163" s="20"/>
      <c r="DL163" s="20"/>
      <c r="DM163" s="20"/>
      <c r="DN163" s="20"/>
    </row>
    <row r="164" spans="1:118" ht="18.75" customHeight="1" x14ac:dyDescent="0.2">
      <c r="A164" s="2124" t="s">
        <v>397</v>
      </c>
      <c r="B164" s="2125"/>
      <c r="C164" s="2125"/>
      <c r="D164" s="2125"/>
      <c r="E164" s="2125"/>
      <c r="F164" s="2125"/>
      <c r="G164" s="2126"/>
      <c r="H164" s="1127"/>
      <c r="I164" s="1128" t="s">
        <v>908</v>
      </c>
      <c r="J164" s="2120" t="str">
        <f>IF(H164&gt;0.1,IF($C$13&lt;1,"Fehler",O164)," ")</f>
        <v xml:space="preserve"> </v>
      </c>
      <c r="K164" s="2121"/>
      <c r="L164" s="2150"/>
      <c r="M164" s="2151"/>
      <c r="N164" s="20"/>
      <c r="O164" s="518" t="str">
        <f>IF(($C$13*H164*0.7)/1000=0," ",($C$13*H164*0.7)/1000)</f>
        <v xml:space="preserve"> </v>
      </c>
      <c r="P164" s="554"/>
      <c r="Q164" s="532">
        <f>IF(O164=" ",0,O164)</f>
        <v>0</v>
      </c>
      <c r="R164" s="532">
        <f>IF(Y164=1,Q164,0)</f>
        <v>0</v>
      </c>
      <c r="S164" s="532"/>
      <c r="T164" s="532"/>
      <c r="U164" s="532"/>
      <c r="V164" s="532"/>
      <c r="W164" s="532"/>
      <c r="X164" s="532"/>
      <c r="Y164" s="532">
        <v>2</v>
      </c>
      <c r="Z164" s="532"/>
      <c r="AA164" s="532"/>
      <c r="AB164" s="532"/>
      <c r="AC164" s="532"/>
      <c r="AD164" s="532"/>
      <c r="AE164" s="532"/>
      <c r="AF164" s="532"/>
      <c r="AG164" s="532"/>
      <c r="AH164" s="532"/>
      <c r="AI164" s="532"/>
      <c r="AJ164" s="532"/>
      <c r="AK164" s="532"/>
      <c r="AL164" s="532"/>
      <c r="AM164" s="532"/>
      <c r="AN164" s="532"/>
      <c r="AO164" s="532"/>
      <c r="AP164" s="532"/>
      <c r="AQ164" s="532"/>
      <c r="AR164" s="532"/>
      <c r="AS164" s="532"/>
      <c r="AT164" s="532"/>
      <c r="AU164" s="532"/>
      <c r="AV164" s="532"/>
      <c r="AW164" s="532"/>
      <c r="AX164" s="532"/>
      <c r="AY164" s="532"/>
      <c r="AZ164" s="532"/>
      <c r="BA164" s="532"/>
      <c r="BB164" s="532"/>
      <c r="BC164" s="532"/>
      <c r="BD164" s="532"/>
      <c r="BE164" s="532"/>
      <c r="BF164" s="533"/>
      <c r="BG164" s="533"/>
      <c r="BH164" s="533"/>
      <c r="BI164" s="533"/>
      <c r="BJ164" s="532"/>
      <c r="BK164" s="532"/>
      <c r="BL164" s="532"/>
      <c r="BM164" s="532"/>
      <c r="BN164" s="532"/>
      <c r="BO164" s="532"/>
      <c r="BP164" s="532"/>
      <c r="BQ164" s="532"/>
      <c r="BR164" s="532"/>
      <c r="BS164" s="532"/>
      <c r="BT164" s="532"/>
      <c r="BU164" s="532"/>
      <c r="BV164" s="532"/>
      <c r="BW164" s="532"/>
      <c r="BX164" s="532"/>
      <c r="BY164" s="532"/>
      <c r="BZ164" s="532"/>
      <c r="CA164" s="532"/>
      <c r="CB164" s="532"/>
      <c r="CC164" s="532"/>
      <c r="CD164" s="532"/>
      <c r="CE164" s="532"/>
      <c r="CH164" s="576"/>
      <c r="CI164" s="577"/>
      <c r="CJ164" s="532"/>
      <c r="CK164" s="532"/>
      <c r="CL164" s="532"/>
      <c r="CM164" s="532"/>
      <c r="CN164" s="20"/>
      <c r="CO164" s="20"/>
      <c r="DF164" s="20"/>
      <c r="DG164" s="20"/>
      <c r="DH164" s="20"/>
      <c r="DI164" s="20"/>
      <c r="DJ164" s="20"/>
      <c r="DK164" s="20"/>
      <c r="DL164" s="20"/>
      <c r="DM164" s="20"/>
      <c r="DN164" s="20"/>
    </row>
    <row r="165" spans="1:118" s="412" customFormat="1" ht="18.75" customHeight="1" x14ac:dyDescent="0.2">
      <c r="A165" s="2100" t="s">
        <v>398</v>
      </c>
      <c r="B165" s="2101"/>
      <c r="C165" s="2101"/>
      <c r="D165" s="2101"/>
      <c r="E165" s="2101"/>
      <c r="F165" s="2101"/>
      <c r="G165" s="2102"/>
      <c r="H165" s="1129"/>
      <c r="I165" s="1130" t="s">
        <v>908</v>
      </c>
      <c r="J165" s="2094" t="str">
        <f>IF(H165&gt;0.1,IF($C$13&lt;1,"Fehler",O165)," ")</f>
        <v xml:space="preserve"> </v>
      </c>
      <c r="K165" s="2095"/>
      <c r="L165" s="1989"/>
      <c r="M165" s="1990"/>
      <c r="N165" s="21"/>
      <c r="O165" s="518" t="str">
        <f>IF(($C$13*H165*0.85)/1000=0," ",($C$13*H165*0.85)/1000)</f>
        <v xml:space="preserve"> </v>
      </c>
      <c r="P165" s="580">
        <f>IF(O165=" ",0,O165)</f>
        <v>0</v>
      </c>
      <c r="Q165" s="532">
        <f>IF(O165=" ",0,O165)</f>
        <v>0</v>
      </c>
      <c r="R165" s="532">
        <f t="shared" ref="R165:R170" si="178">IF(Y165=1,Q165,0)</f>
        <v>0</v>
      </c>
      <c r="S165" s="535"/>
      <c r="T165" s="535"/>
      <c r="U165" s="535"/>
      <c r="V165" s="535"/>
      <c r="W165" s="535"/>
      <c r="X165" s="535"/>
      <c r="Y165" s="535">
        <v>1</v>
      </c>
      <c r="Z165" s="410"/>
      <c r="AA165" s="410"/>
      <c r="AB165" s="410"/>
      <c r="AC165" s="410"/>
      <c r="AD165" s="535"/>
      <c r="AE165" s="535"/>
      <c r="AF165" s="535"/>
      <c r="AG165" s="535"/>
      <c r="AH165" s="535"/>
      <c r="AI165" s="535"/>
      <c r="AJ165" s="535"/>
      <c r="AK165" s="535"/>
      <c r="AL165" s="535"/>
      <c r="AM165" s="535"/>
      <c r="AN165" s="535"/>
      <c r="AO165" s="535"/>
      <c r="AP165" s="535"/>
      <c r="AQ165" s="535"/>
      <c r="AR165" s="535"/>
      <c r="AS165" s="535"/>
      <c r="AT165" s="535"/>
      <c r="AU165" s="535"/>
      <c r="AV165" s="535"/>
      <c r="AW165" s="535"/>
      <c r="AX165" s="535"/>
      <c r="AY165" s="535"/>
      <c r="AZ165" s="535"/>
      <c r="BA165" s="535"/>
      <c r="BB165" s="535"/>
      <c r="BC165" s="535"/>
      <c r="BD165" s="535"/>
      <c r="BE165" s="535"/>
      <c r="BF165" s="535"/>
      <c r="BG165" s="535"/>
      <c r="BH165" s="535"/>
      <c r="BI165" s="535"/>
      <c r="BJ165" s="535"/>
      <c r="BK165" s="535"/>
      <c r="BL165" s="535"/>
      <c r="BM165" s="535"/>
      <c r="BN165" s="535"/>
      <c r="BO165" s="532"/>
      <c r="BP165" s="532"/>
      <c r="BQ165" s="532"/>
      <c r="BR165" s="532"/>
      <c r="BS165" s="532"/>
      <c r="BT165" s="532"/>
      <c r="BU165" s="532"/>
      <c r="BV165" s="532"/>
      <c r="BW165" s="532"/>
      <c r="BX165" s="535"/>
      <c r="BY165" s="535"/>
      <c r="BZ165" s="535"/>
      <c r="CA165" s="535"/>
      <c r="CB165" s="535"/>
      <c r="CC165" s="535"/>
      <c r="CD165" s="535"/>
      <c r="CE165" s="535"/>
      <c r="CH165" s="582"/>
      <c r="CI165" s="577"/>
      <c r="CJ165" s="535"/>
      <c r="CK165" s="535"/>
      <c r="CL165" s="535"/>
      <c r="CM165" s="535"/>
      <c r="CN165" s="410"/>
      <c r="CO165" s="410"/>
      <c r="CP165" s="411"/>
      <c r="CQ165" s="410"/>
      <c r="CR165" s="410"/>
      <c r="CS165" s="410"/>
      <c r="CT165" s="410"/>
      <c r="CU165" s="410"/>
      <c r="CV165" s="410"/>
      <c r="CW165" s="410"/>
      <c r="CX165" s="410"/>
      <c r="CY165" s="410"/>
      <c r="CZ165" s="410"/>
      <c r="DA165" s="410"/>
      <c r="DB165" s="410"/>
      <c r="DC165" s="410"/>
      <c r="DD165" s="410"/>
      <c r="DE165" s="410"/>
      <c r="DF165" s="410"/>
      <c r="DG165" s="410"/>
      <c r="DH165" s="410"/>
      <c r="DI165" s="410"/>
      <c r="DJ165" s="410"/>
      <c r="DK165" s="410"/>
      <c r="DL165" s="410"/>
      <c r="DM165" s="410"/>
      <c r="DN165" s="410"/>
    </row>
    <row r="166" spans="1:118" s="412" customFormat="1" ht="18.75" customHeight="1" x14ac:dyDescent="0.2">
      <c r="A166" s="1849" t="s">
        <v>399</v>
      </c>
      <c r="B166" s="1850"/>
      <c r="C166" s="1850"/>
      <c r="D166" s="1850"/>
      <c r="E166" s="1850"/>
      <c r="F166" s="1850"/>
      <c r="G166" s="1851"/>
      <c r="H166" s="1434"/>
      <c r="I166" s="1435" t="s">
        <v>908</v>
      </c>
      <c r="J166" s="1926" t="str">
        <f>IF(H166&gt;0.1,IF($C$13&lt;1,"Fehler",O166)," ")</f>
        <v xml:space="preserve"> </v>
      </c>
      <c r="K166" s="1927"/>
      <c r="L166" s="1847"/>
      <c r="M166" s="1848"/>
      <c r="N166" s="21"/>
      <c r="O166" s="518" t="str">
        <f>IF(($C$13*H166*0.85)/1000=0," ",($C$13*H166*0.85)/1000)</f>
        <v xml:space="preserve"> </v>
      </c>
      <c r="P166" s="580"/>
      <c r="Q166" s="532">
        <f>IF(O166=" ",0,O166)</f>
        <v>0</v>
      </c>
      <c r="R166" s="532">
        <f t="shared" si="178"/>
        <v>0</v>
      </c>
      <c r="S166" s="535"/>
      <c r="T166" s="535"/>
      <c r="U166" s="535"/>
      <c r="V166" s="535"/>
      <c r="W166" s="535"/>
      <c r="X166" s="535"/>
      <c r="Y166" s="535">
        <v>1</v>
      </c>
      <c r="Z166" s="410"/>
      <c r="AA166" s="410"/>
      <c r="AB166" s="410"/>
      <c r="AC166" s="410"/>
      <c r="AD166" s="535"/>
      <c r="AE166" s="535"/>
      <c r="AF166" s="535"/>
      <c r="AG166" s="535"/>
      <c r="AH166" s="535"/>
      <c r="AI166" s="535"/>
      <c r="AJ166" s="535"/>
      <c r="AK166" s="535"/>
      <c r="AL166" s="535"/>
      <c r="AM166" s="535"/>
      <c r="AN166" s="535"/>
      <c r="AO166" s="535"/>
      <c r="AP166" s="535"/>
      <c r="AQ166" s="535"/>
      <c r="AR166" s="535"/>
      <c r="AS166" s="535"/>
      <c r="AT166" s="535"/>
      <c r="AU166" s="535"/>
      <c r="AV166" s="535"/>
      <c r="AW166" s="535"/>
      <c r="AX166" s="535"/>
      <c r="AY166" s="535"/>
      <c r="AZ166" s="535"/>
      <c r="BA166" s="535"/>
      <c r="BB166" s="535"/>
      <c r="BC166" s="535"/>
      <c r="BD166" s="535"/>
      <c r="BE166" s="535"/>
      <c r="BF166" s="535"/>
      <c r="BG166" s="535"/>
      <c r="BH166" s="535"/>
      <c r="BI166" s="535"/>
      <c r="BJ166" s="535"/>
      <c r="BK166" s="535"/>
      <c r="BL166" s="535"/>
      <c r="BM166" s="535"/>
      <c r="BN166" s="535"/>
      <c r="BO166" s="535"/>
      <c r="BP166" s="535"/>
      <c r="BQ166" s="535"/>
      <c r="BR166" s="535"/>
      <c r="BS166" s="535"/>
      <c r="BT166" s="535"/>
      <c r="BU166" s="535"/>
      <c r="BV166" s="535"/>
      <c r="BW166" s="535"/>
      <c r="BX166" s="535"/>
      <c r="BY166" s="535"/>
      <c r="BZ166" s="535"/>
      <c r="CA166" s="535"/>
      <c r="CB166" s="535"/>
      <c r="CC166" s="535"/>
      <c r="CD166" s="535"/>
      <c r="CE166" s="535"/>
      <c r="CH166" s="582"/>
      <c r="CI166" s="577"/>
      <c r="CJ166" s="535"/>
      <c r="CK166" s="535"/>
      <c r="CL166" s="535"/>
      <c r="CM166" s="535"/>
      <c r="CN166" s="410"/>
      <c r="CO166" s="410"/>
      <c r="CP166" s="411"/>
      <c r="CQ166" s="410"/>
      <c r="CR166" s="410"/>
      <c r="CS166" s="410"/>
      <c r="CT166" s="410"/>
      <c r="CU166" s="410"/>
      <c r="CV166" s="410"/>
      <c r="CW166" s="410"/>
      <c r="CX166" s="410"/>
      <c r="CY166" s="410"/>
      <c r="CZ166" s="410"/>
      <c r="DA166" s="410"/>
      <c r="DB166" s="410"/>
      <c r="DC166" s="410"/>
      <c r="DD166" s="410"/>
      <c r="DE166" s="410"/>
      <c r="DF166" s="410"/>
      <c r="DG166" s="410"/>
      <c r="DH166" s="410"/>
      <c r="DI166" s="410"/>
      <c r="DJ166" s="410"/>
      <c r="DK166" s="410"/>
      <c r="DL166" s="410"/>
      <c r="DM166" s="410"/>
      <c r="DN166" s="410"/>
    </row>
    <row r="167" spans="1:118" s="412" customFormat="1" ht="18.75" customHeight="1" x14ac:dyDescent="0.2">
      <c r="A167" s="2100" t="s">
        <v>386</v>
      </c>
      <c r="B167" s="2101"/>
      <c r="C167" s="2101"/>
      <c r="D167" s="2101"/>
      <c r="E167" s="2101"/>
      <c r="F167" s="2101"/>
      <c r="G167" s="2102"/>
      <c r="H167" s="626"/>
      <c r="I167" s="1436" t="s">
        <v>909</v>
      </c>
      <c r="J167" s="2094" t="str">
        <f>+IF(H167&gt;0.1,H167*33.2," ")</f>
        <v xml:space="preserve"> </v>
      </c>
      <c r="K167" s="2095"/>
      <c r="L167" s="1989"/>
      <c r="M167" s="1990"/>
      <c r="N167" s="21"/>
      <c r="O167" s="410"/>
      <c r="P167" s="581"/>
      <c r="Q167" s="532">
        <f>IF(J167=" ",0,J167)</f>
        <v>0</v>
      </c>
      <c r="R167" s="532">
        <f t="shared" si="178"/>
        <v>0</v>
      </c>
      <c r="S167" s="535"/>
      <c r="T167" s="535"/>
      <c r="U167" s="535"/>
      <c r="V167" s="535"/>
      <c r="W167" s="535"/>
      <c r="X167" s="535"/>
      <c r="Y167" s="535">
        <v>1</v>
      </c>
      <c r="Z167" s="410"/>
      <c r="AA167" s="410"/>
      <c r="AB167" s="410"/>
      <c r="AC167" s="410"/>
      <c r="AD167" s="535"/>
      <c r="AE167" s="535"/>
      <c r="AF167" s="535"/>
      <c r="AG167" s="535"/>
      <c r="AH167" s="535"/>
      <c r="AI167" s="535"/>
      <c r="AJ167" s="535"/>
      <c r="AK167" s="535"/>
      <c r="AL167" s="535"/>
      <c r="AM167" s="535"/>
      <c r="AN167" s="535"/>
      <c r="AO167" s="535"/>
      <c r="AP167" s="535"/>
      <c r="AQ167" s="535"/>
      <c r="AR167" s="535"/>
      <c r="AS167" s="535"/>
      <c r="AT167" s="535"/>
      <c r="AU167" s="535"/>
      <c r="AV167" s="535"/>
      <c r="AW167" s="535"/>
      <c r="AX167" s="535"/>
      <c r="AY167" s="535"/>
      <c r="AZ167" s="535"/>
      <c r="BA167" s="535"/>
      <c r="BB167" s="535"/>
      <c r="BC167" s="535"/>
      <c r="BD167" s="535"/>
      <c r="BE167" s="535"/>
      <c r="BF167" s="535"/>
      <c r="BG167" s="535"/>
      <c r="BH167" s="535"/>
      <c r="BI167" s="535"/>
      <c r="BJ167" s="535"/>
      <c r="BK167" s="535"/>
      <c r="BL167" s="535"/>
      <c r="BM167" s="535"/>
      <c r="BN167" s="535"/>
      <c r="BO167" s="535"/>
      <c r="BP167" s="535"/>
      <c r="BQ167" s="535"/>
      <c r="BR167" s="535"/>
      <c r="BS167" s="535"/>
      <c r="BT167" s="535"/>
      <c r="BU167" s="535"/>
      <c r="BV167" s="535"/>
      <c r="BW167" s="535"/>
      <c r="BX167" s="535"/>
      <c r="BY167" s="535"/>
      <c r="BZ167" s="535"/>
      <c r="CA167" s="535"/>
      <c r="CB167" s="535"/>
      <c r="CC167" s="535"/>
      <c r="CD167" s="535"/>
      <c r="CE167" s="535"/>
      <c r="CH167" s="582"/>
      <c r="CI167" s="577"/>
      <c r="CJ167" s="535"/>
      <c r="CK167" s="535"/>
      <c r="CL167" s="535"/>
      <c r="CM167" s="535"/>
      <c r="CN167" s="410"/>
      <c r="CO167" s="410"/>
      <c r="CP167" s="410"/>
      <c r="CQ167" s="410"/>
      <c r="CR167" s="410"/>
      <c r="CS167" s="410"/>
      <c r="CT167" s="410"/>
      <c r="CU167" s="410"/>
      <c r="CV167" s="410"/>
      <c r="CW167" s="410"/>
      <c r="CX167" s="410"/>
      <c r="CY167" s="410"/>
      <c r="CZ167" s="410"/>
      <c r="DA167" s="410"/>
      <c r="DB167" s="410"/>
      <c r="DC167" s="410"/>
      <c r="DD167" s="410"/>
      <c r="DE167" s="410"/>
      <c r="DF167" s="410"/>
      <c r="DG167" s="410"/>
      <c r="DH167" s="410"/>
      <c r="DI167" s="410"/>
      <c r="DJ167" s="410"/>
      <c r="DK167" s="410"/>
      <c r="DL167" s="410"/>
      <c r="DM167" s="410"/>
      <c r="DN167" s="410"/>
    </row>
    <row r="168" spans="1:118" s="412" customFormat="1" ht="18.75" customHeight="1" x14ac:dyDescent="0.2">
      <c r="A168" s="2258" t="s">
        <v>395</v>
      </c>
      <c r="B168" s="2259"/>
      <c r="C168" s="2259"/>
      <c r="D168" s="2259"/>
      <c r="E168" s="2259"/>
      <c r="F168" s="2259"/>
      <c r="G168" s="2260"/>
      <c r="H168" s="1132"/>
      <c r="I168" s="1131" t="s">
        <v>1</v>
      </c>
      <c r="J168" s="2096" t="str">
        <f>IF(H168&gt;0.1,H168," ")</f>
        <v xml:space="preserve"> </v>
      </c>
      <c r="K168" s="2097"/>
      <c r="L168" s="1855"/>
      <c r="M168" s="1856"/>
      <c r="N168" s="21"/>
      <c r="O168" s="410"/>
      <c r="P168" s="584">
        <f>IF(J168=" ",0,J168)</f>
        <v>0</v>
      </c>
      <c r="Q168" s="532">
        <f>IF(J168=" ",0,J168)</f>
        <v>0</v>
      </c>
      <c r="R168" s="532">
        <f t="shared" si="178"/>
        <v>0</v>
      </c>
      <c r="S168" s="535"/>
      <c r="T168" s="535"/>
      <c r="U168" s="535"/>
      <c r="V168" s="535"/>
      <c r="W168" s="535"/>
      <c r="X168" s="535"/>
      <c r="Y168" s="535">
        <v>2</v>
      </c>
      <c r="Z168" s="410"/>
      <c r="AA168" s="410"/>
      <c r="AB168" s="410"/>
      <c r="AC168" s="410"/>
      <c r="AD168" s="535"/>
      <c r="AE168" s="535"/>
      <c r="AF168" s="535"/>
      <c r="AG168" s="535"/>
      <c r="AH168" s="535"/>
      <c r="AI168" s="535"/>
      <c r="AJ168" s="535"/>
      <c r="AK168" s="535"/>
      <c r="AL168" s="535"/>
      <c r="AM168" s="535"/>
      <c r="AN168" s="535"/>
      <c r="AO168" s="535"/>
      <c r="AP168" s="535"/>
      <c r="AQ168" s="535"/>
      <c r="AR168" s="535"/>
      <c r="AS168" s="535"/>
      <c r="AT168" s="535"/>
      <c r="AU168" s="535"/>
      <c r="AV168" s="535"/>
      <c r="AW168" s="535"/>
      <c r="AX168" s="535"/>
      <c r="AY168" s="535"/>
      <c r="AZ168" s="535"/>
      <c r="BA168" s="535"/>
      <c r="BB168" s="535"/>
      <c r="BC168" s="535"/>
      <c r="BD168" s="535"/>
      <c r="BE168" s="535"/>
      <c r="BF168" s="535"/>
      <c r="BG168" s="535"/>
      <c r="BH168" s="535"/>
      <c r="BI168" s="535"/>
      <c r="BJ168" s="535"/>
      <c r="BK168" s="535"/>
      <c r="BL168" s="535"/>
      <c r="BM168" s="535"/>
      <c r="BN168" s="535"/>
      <c r="BO168" s="535"/>
      <c r="BP168" s="535"/>
      <c r="BQ168" s="535"/>
      <c r="BR168" s="535"/>
      <c r="BS168" s="535"/>
      <c r="BT168" s="535"/>
      <c r="BU168" s="535"/>
      <c r="BV168" s="535"/>
      <c r="BW168" s="535"/>
      <c r="BX168" s="535"/>
      <c r="BY168" s="535"/>
      <c r="BZ168" s="535"/>
      <c r="CA168" s="535"/>
      <c r="CB168" s="535"/>
      <c r="CC168" s="535"/>
      <c r="CD168" s="535"/>
      <c r="CE168" s="535"/>
      <c r="CH168" s="582"/>
      <c r="CI168" s="577"/>
      <c r="CJ168" s="535"/>
      <c r="CK168" s="535"/>
      <c r="CL168" s="535"/>
      <c r="CM168" s="535"/>
      <c r="CN168" s="410"/>
      <c r="CO168" s="410"/>
      <c r="CP168" s="411"/>
      <c r="CQ168" s="410"/>
      <c r="CR168" s="410"/>
      <c r="CS168" s="410"/>
      <c r="CT168" s="410"/>
      <c r="CU168" s="410"/>
      <c r="CV168" s="410"/>
      <c r="CW168" s="410"/>
      <c r="CX168" s="410"/>
      <c r="CY168" s="410"/>
      <c r="CZ168" s="410"/>
      <c r="DA168" s="410"/>
      <c r="DB168" s="410"/>
      <c r="DC168" s="410"/>
      <c r="DD168" s="410"/>
      <c r="DE168" s="410"/>
      <c r="DF168" s="410"/>
      <c r="DG168" s="410"/>
      <c r="DH168" s="410"/>
      <c r="DI168" s="410"/>
      <c r="DJ168" s="410"/>
      <c r="DK168" s="410"/>
      <c r="DL168" s="410"/>
      <c r="DM168" s="410"/>
      <c r="DN168" s="410"/>
    </row>
    <row r="169" spans="1:118" s="412" customFormat="1" ht="18.75" customHeight="1" x14ac:dyDescent="0.2">
      <c r="A169" s="1133" t="s">
        <v>396</v>
      </c>
      <c r="B169" s="1134"/>
      <c r="C169" s="1134"/>
      <c r="D169" s="1134"/>
      <c r="E169" s="1135"/>
      <c r="F169" s="1135"/>
      <c r="G169" s="1135"/>
      <c r="H169" s="626"/>
      <c r="I169" s="1136" t="s">
        <v>1</v>
      </c>
      <c r="J169" s="1890" t="str">
        <f>IF(H169&gt;0.1,H169," ")</f>
        <v xml:space="preserve"> </v>
      </c>
      <c r="K169" s="1891"/>
      <c r="L169" s="2118" t="s">
        <v>903</v>
      </c>
      <c r="M169" s="2119"/>
      <c r="N169" s="21"/>
      <c r="O169" s="410"/>
      <c r="P169" s="535"/>
      <c r="Q169" s="532">
        <f>IF(J169=" ",0,J169)</f>
        <v>0</v>
      </c>
      <c r="R169" s="532">
        <f t="shared" si="178"/>
        <v>0</v>
      </c>
      <c r="S169" s="535"/>
      <c r="T169" s="535"/>
      <c r="U169" s="535"/>
      <c r="V169" s="535"/>
      <c r="W169" s="535"/>
      <c r="X169" s="535"/>
      <c r="Y169" s="535">
        <v>1</v>
      </c>
      <c r="Z169" s="410"/>
      <c r="AA169" s="410"/>
      <c r="AB169" s="410"/>
      <c r="AC169" s="410"/>
      <c r="AD169" s="535"/>
      <c r="AE169" s="535"/>
      <c r="AF169" s="535"/>
      <c r="AG169" s="535"/>
      <c r="AH169" s="535"/>
      <c r="AI169" s="535"/>
      <c r="AJ169" s="535"/>
      <c r="AK169" s="535"/>
      <c r="AL169" s="535"/>
      <c r="AM169" s="535"/>
      <c r="AN169" s="535"/>
      <c r="AO169" s="535"/>
      <c r="AP169" s="535"/>
      <c r="AQ169" s="535"/>
      <c r="AR169" s="535"/>
      <c r="AS169" s="535"/>
      <c r="AT169" s="535"/>
      <c r="AU169" s="535"/>
      <c r="AV169" s="535"/>
      <c r="AW169" s="535"/>
      <c r="AX169" s="535"/>
      <c r="AY169" s="535"/>
      <c r="AZ169" s="535"/>
      <c r="BA169" s="535"/>
      <c r="BB169" s="535"/>
      <c r="BC169" s="535"/>
      <c r="BD169" s="535"/>
      <c r="BE169" s="535"/>
      <c r="BF169" s="535"/>
      <c r="BG169" s="535"/>
      <c r="BH169" s="535"/>
      <c r="BI169" s="535"/>
      <c r="BJ169" s="535"/>
      <c r="BK169" s="535"/>
      <c r="BL169" s="535"/>
      <c r="BM169" s="535"/>
      <c r="BN169" s="535"/>
      <c r="BO169" s="535"/>
      <c r="BP169" s="535"/>
      <c r="BQ169" s="535"/>
      <c r="BR169" s="535"/>
      <c r="BS169" s="535"/>
      <c r="BT169" s="535"/>
      <c r="BU169" s="535"/>
      <c r="BV169" s="535"/>
      <c r="BW169" s="535"/>
      <c r="BX169" s="535"/>
      <c r="BY169" s="535"/>
      <c r="BZ169" s="535"/>
      <c r="CA169" s="535"/>
      <c r="CB169" s="535"/>
      <c r="CC169" s="535"/>
      <c r="CD169" s="535"/>
      <c r="CE169" s="535"/>
      <c r="CH169" s="582"/>
      <c r="CI169" s="577"/>
      <c r="CJ169" s="535"/>
      <c r="CK169" s="535"/>
      <c r="CL169" s="535"/>
      <c r="CM169" s="535"/>
      <c r="CN169" s="410"/>
      <c r="CO169" s="410"/>
      <c r="CP169" s="411"/>
      <c r="CQ169" s="410"/>
      <c r="CR169" s="410"/>
      <c r="CS169" s="410"/>
      <c r="CT169" s="410"/>
      <c r="CU169" s="410"/>
      <c r="CV169" s="410"/>
      <c r="CW169" s="410"/>
      <c r="CX169" s="410"/>
      <c r="CY169" s="410"/>
      <c r="CZ169" s="410"/>
      <c r="DA169" s="410"/>
      <c r="DB169" s="410"/>
      <c r="DC169" s="410"/>
      <c r="DD169" s="410"/>
      <c r="DE169" s="410"/>
      <c r="DF169" s="410"/>
      <c r="DG169" s="410"/>
      <c r="DH169" s="410"/>
      <c r="DI169" s="410"/>
      <c r="DJ169" s="410"/>
      <c r="DK169" s="410"/>
      <c r="DL169" s="410"/>
      <c r="DM169" s="410"/>
      <c r="DN169" s="410"/>
    </row>
    <row r="170" spans="1:118" s="412" customFormat="1" ht="18.75" customHeight="1" thickBot="1" x14ac:dyDescent="0.25">
      <c r="A170" s="1072" t="s">
        <v>396</v>
      </c>
      <c r="B170" s="1073"/>
      <c r="C170" s="1073"/>
      <c r="D170" s="1073"/>
      <c r="E170" s="1074"/>
      <c r="F170" s="1074"/>
      <c r="G170" s="1074"/>
      <c r="H170" s="625"/>
      <c r="I170" s="624" t="s">
        <v>1</v>
      </c>
      <c r="J170" s="1888" t="str">
        <f>IF(H170&gt;0.1,H170," ")</f>
        <v xml:space="preserve"> </v>
      </c>
      <c r="K170" s="1889"/>
      <c r="L170" s="1974" t="s">
        <v>914</v>
      </c>
      <c r="M170" s="1975"/>
      <c r="N170" s="21"/>
      <c r="O170" s="410"/>
      <c r="P170" s="535"/>
      <c r="Q170" s="532">
        <f>IF(J170=" ",0,J170)</f>
        <v>0</v>
      </c>
      <c r="R170" s="532">
        <f t="shared" si="178"/>
        <v>0</v>
      </c>
      <c r="S170" s="535"/>
      <c r="T170" s="535"/>
      <c r="U170" s="535"/>
      <c r="V170" s="535"/>
      <c r="W170" s="535"/>
      <c r="X170" s="535"/>
      <c r="Y170" s="535">
        <v>2</v>
      </c>
      <c r="Z170" s="410"/>
      <c r="AA170" s="410"/>
      <c r="AB170" s="410"/>
      <c r="AC170" s="410"/>
      <c r="AD170" s="535"/>
      <c r="AE170" s="535"/>
      <c r="AF170" s="535"/>
      <c r="AG170" s="535"/>
      <c r="AH170" s="535"/>
      <c r="AI170" s="535"/>
      <c r="AJ170" s="535"/>
      <c r="AK170" s="535"/>
      <c r="AL170" s="535"/>
      <c r="AM170" s="535"/>
      <c r="AN170" s="535"/>
      <c r="AO170" s="535"/>
      <c r="AP170" s="535"/>
      <c r="AQ170" s="535"/>
      <c r="AR170" s="535"/>
      <c r="AS170" s="535"/>
      <c r="AT170" s="535"/>
      <c r="AU170" s="535"/>
      <c r="AV170" s="535"/>
      <c r="AW170" s="535"/>
      <c r="AX170" s="535"/>
      <c r="AY170" s="535"/>
      <c r="AZ170" s="535"/>
      <c r="BA170" s="535"/>
      <c r="BB170" s="535"/>
      <c r="BC170" s="535"/>
      <c r="BD170" s="535"/>
      <c r="BE170" s="535"/>
      <c r="BF170" s="535"/>
      <c r="BG170" s="535"/>
      <c r="BH170" s="535"/>
      <c r="BI170" s="535"/>
      <c r="BJ170" s="535"/>
      <c r="BK170" s="535"/>
      <c r="BL170" s="535"/>
      <c r="BM170" s="535"/>
      <c r="BN170" s="535"/>
      <c r="BO170" s="535"/>
      <c r="BP170" s="535"/>
      <c r="BQ170" s="535"/>
      <c r="BR170" s="535"/>
      <c r="BS170" s="535"/>
      <c r="BT170" s="535"/>
      <c r="BU170" s="535"/>
      <c r="BV170" s="535"/>
      <c r="BW170" s="535"/>
      <c r="BX170" s="535"/>
      <c r="BY170" s="535"/>
      <c r="BZ170" s="535"/>
      <c r="CA170" s="535"/>
      <c r="CB170" s="535"/>
      <c r="CC170" s="535"/>
      <c r="CD170" s="535"/>
      <c r="CE170" s="535"/>
      <c r="CH170" s="582"/>
      <c r="CI170" s="577"/>
      <c r="CJ170" s="535"/>
      <c r="CK170" s="535"/>
      <c r="CL170" s="535"/>
      <c r="CM170" s="535"/>
      <c r="CN170" s="410"/>
      <c r="CO170" s="410"/>
      <c r="CP170" s="410"/>
      <c r="CQ170" s="410"/>
      <c r="CR170" s="410"/>
      <c r="CS170" s="410"/>
      <c r="CT170" s="410"/>
      <c r="CU170" s="410"/>
      <c r="CV170" s="410"/>
      <c r="CW170" s="410"/>
      <c r="CX170" s="410"/>
      <c r="CY170" s="410"/>
      <c r="CZ170" s="410"/>
      <c r="DA170" s="410"/>
      <c r="DB170" s="410"/>
      <c r="DC170" s="410"/>
      <c r="DD170" s="410"/>
      <c r="DE170" s="410"/>
      <c r="DF170" s="410"/>
      <c r="DG170" s="410"/>
      <c r="DH170" s="410"/>
      <c r="DI170" s="410"/>
      <c r="DJ170" s="410"/>
      <c r="DK170" s="410"/>
      <c r="DL170" s="410"/>
      <c r="DM170" s="410"/>
      <c r="DN170" s="410"/>
    </row>
    <row r="171" spans="1:118" s="412" customFormat="1" ht="17.25" customHeight="1" x14ac:dyDescent="0.2">
      <c r="A171" s="2117"/>
      <c r="B171" s="2117"/>
      <c r="C171" s="2117"/>
      <c r="D171" s="2117"/>
      <c r="E171" s="2117"/>
      <c r="F171" s="2117"/>
      <c r="G171" s="2117"/>
      <c r="H171" s="2117"/>
      <c r="I171" s="2117"/>
      <c r="J171" s="2117"/>
      <c r="K171" s="2117"/>
      <c r="L171" s="2117"/>
      <c r="M171" s="26"/>
      <c r="N171" s="22"/>
      <c r="O171" s="411"/>
      <c r="P171" s="585"/>
      <c r="Q171" s="585"/>
      <c r="R171" s="585">
        <f>SUM(R164:R170)</f>
        <v>0</v>
      </c>
      <c r="S171" s="585"/>
      <c r="T171" s="585"/>
      <c r="U171" s="585"/>
      <c r="V171" s="585"/>
      <c r="W171" s="585"/>
      <c r="X171" s="585"/>
      <c r="Y171" s="585"/>
      <c r="AD171" s="594"/>
      <c r="AE171" s="594"/>
      <c r="AF171" s="594"/>
      <c r="AG171" s="594"/>
      <c r="AH171" s="594"/>
      <c r="AI171" s="594"/>
      <c r="AJ171" s="594"/>
      <c r="AK171" s="594"/>
      <c r="AL171" s="594"/>
      <c r="AM171" s="594"/>
      <c r="AN171" s="594"/>
      <c r="AO171" s="594"/>
      <c r="AP171" s="594"/>
      <c r="AQ171" s="594"/>
      <c r="AR171" s="594"/>
      <c r="AS171" s="594"/>
      <c r="AT171" s="594"/>
      <c r="AU171" s="594"/>
      <c r="AV171" s="594"/>
      <c r="AW171" s="595" t="s">
        <v>319</v>
      </c>
      <c r="AX171" s="585"/>
      <c r="AY171" s="585"/>
      <c r="AZ171" s="585"/>
      <c r="BA171" s="585"/>
      <c r="BB171" s="585"/>
      <c r="BC171" s="585"/>
      <c r="BD171" s="585"/>
      <c r="BE171" s="585"/>
      <c r="BF171" s="585"/>
      <c r="BG171" s="585"/>
      <c r="BH171" s="585"/>
      <c r="BI171" s="585"/>
      <c r="BJ171" s="585"/>
      <c r="BK171" s="535"/>
      <c r="BL171" s="535"/>
      <c r="BM171" s="535"/>
      <c r="BN171" s="535"/>
      <c r="BO171" s="535"/>
      <c r="BP171" s="535"/>
      <c r="BQ171" s="535"/>
      <c r="BR171" s="535"/>
      <c r="BS171" s="535"/>
      <c r="BT171" s="535"/>
      <c r="BU171" s="535"/>
      <c r="BV171" s="535"/>
      <c r="BW171" s="535"/>
      <c r="BX171" s="535"/>
      <c r="BY171" s="535"/>
      <c r="BZ171" s="535"/>
      <c r="CA171" s="535"/>
      <c r="CB171" s="535"/>
      <c r="CC171" s="535"/>
      <c r="CD171" s="535"/>
      <c r="CE171" s="535"/>
      <c r="CH171" s="582"/>
      <c r="CI171" s="577"/>
      <c r="CJ171" s="535"/>
      <c r="CK171" s="535"/>
      <c r="CL171" s="535"/>
      <c r="CM171" s="535"/>
      <c r="CN171" s="410"/>
      <c r="CO171" s="410"/>
      <c r="CP171" s="410"/>
      <c r="CQ171" s="410"/>
      <c r="CR171" s="410"/>
      <c r="CS171" s="410"/>
      <c r="CT171" s="410"/>
      <c r="CU171" s="410"/>
      <c r="CV171" s="410"/>
      <c r="CW171" s="410"/>
      <c r="CX171" s="410"/>
      <c r="CY171" s="410"/>
      <c r="CZ171" s="410"/>
      <c r="DA171" s="410"/>
      <c r="DB171" s="410"/>
      <c r="DC171" s="410"/>
      <c r="DD171" s="410"/>
      <c r="DE171" s="410"/>
      <c r="DF171" s="410"/>
      <c r="DG171" s="410"/>
      <c r="DH171" s="410"/>
      <c r="DI171" s="410"/>
      <c r="DJ171" s="410"/>
      <c r="DK171" s="410"/>
      <c r="DL171" s="410"/>
      <c r="DM171" s="410"/>
      <c r="DN171" s="410"/>
    </row>
    <row r="172" spans="1:118" s="412" customFormat="1" ht="17.25" customHeight="1" x14ac:dyDescent="0.2">
      <c r="A172" s="26"/>
      <c r="B172" s="26"/>
      <c r="C172" s="26"/>
      <c r="D172" s="26"/>
      <c r="E172" s="26"/>
      <c r="F172" s="26"/>
      <c r="G172" s="26"/>
      <c r="H172" s="26"/>
      <c r="I172" s="26"/>
      <c r="J172" s="26"/>
      <c r="K172" s="26"/>
      <c r="L172" s="26"/>
      <c r="M172" s="26"/>
      <c r="N172" s="22"/>
      <c r="O172" s="411"/>
      <c r="P172" s="585"/>
      <c r="Q172" s="585"/>
      <c r="R172" s="585"/>
      <c r="S172" s="585"/>
      <c r="T172" s="585"/>
      <c r="U172" s="585"/>
      <c r="V172" s="585"/>
      <c r="W172" s="585"/>
      <c r="X172" s="585"/>
      <c r="Y172" s="585"/>
      <c r="AD172" s="594"/>
      <c r="AE172" s="594"/>
      <c r="AF172" s="594"/>
      <c r="AG172" s="594"/>
      <c r="AH172" s="594"/>
      <c r="AI172" s="594"/>
      <c r="AJ172" s="594"/>
      <c r="AK172" s="594"/>
      <c r="AL172" s="594"/>
      <c r="AM172" s="594"/>
      <c r="AN172" s="594"/>
      <c r="AO172" s="594"/>
      <c r="AP172" s="594"/>
      <c r="AQ172" s="594"/>
      <c r="AR172" s="594"/>
      <c r="AS172" s="594"/>
      <c r="AT172" s="594"/>
      <c r="AU172" s="594"/>
      <c r="AV172" s="594"/>
      <c r="AW172" s="595"/>
      <c r="AX172" s="585"/>
      <c r="AY172" s="585"/>
      <c r="AZ172" s="585"/>
      <c r="BA172" s="585"/>
      <c r="BB172" s="585"/>
      <c r="BC172" s="585"/>
      <c r="BD172" s="585"/>
      <c r="BE172" s="585"/>
      <c r="BF172" s="585"/>
      <c r="BG172" s="585"/>
      <c r="BH172" s="585"/>
      <c r="BI172" s="585"/>
      <c r="BJ172" s="585"/>
      <c r="BK172" s="535"/>
      <c r="BL172" s="535"/>
      <c r="BM172" s="535"/>
      <c r="BN172" s="535"/>
      <c r="BO172" s="535"/>
      <c r="BP172" s="535"/>
      <c r="BQ172" s="535"/>
      <c r="BR172" s="535"/>
      <c r="BS172" s="535"/>
      <c r="BT172" s="535"/>
      <c r="BU172" s="535"/>
      <c r="BV172" s="535"/>
      <c r="BW172" s="535"/>
      <c r="BX172" s="535"/>
      <c r="BY172" s="535"/>
      <c r="BZ172" s="535"/>
      <c r="CA172" s="535"/>
      <c r="CB172" s="535"/>
      <c r="CC172" s="535"/>
      <c r="CD172" s="535"/>
      <c r="CE172" s="535"/>
      <c r="CH172" s="582"/>
      <c r="CI172" s="577"/>
      <c r="CJ172" s="535"/>
      <c r="CK172" s="535"/>
      <c r="CL172" s="535"/>
      <c r="CM172" s="535"/>
      <c r="CN172" s="410"/>
      <c r="CO172" s="410"/>
      <c r="CP172" s="410"/>
      <c r="CQ172" s="410"/>
      <c r="CR172" s="410"/>
      <c r="CS172" s="410"/>
      <c r="CT172" s="410"/>
      <c r="CU172" s="410"/>
      <c r="CV172" s="410"/>
      <c r="CW172" s="410"/>
      <c r="CX172" s="410"/>
      <c r="CY172" s="410"/>
      <c r="CZ172" s="410"/>
      <c r="DA172" s="410"/>
      <c r="DB172" s="410"/>
      <c r="DC172" s="410"/>
      <c r="DD172" s="410"/>
      <c r="DE172" s="410"/>
      <c r="DF172" s="410"/>
      <c r="DG172" s="410"/>
      <c r="DH172" s="410"/>
      <c r="DI172" s="410"/>
      <c r="DJ172" s="410"/>
      <c r="DK172" s="410"/>
      <c r="DL172" s="410"/>
      <c r="DM172" s="410"/>
      <c r="DN172" s="410"/>
    </row>
    <row r="173" spans="1:118" s="412" customFormat="1" ht="17.25" customHeight="1" x14ac:dyDescent="0.2">
      <c r="A173" s="1108" t="s">
        <v>1057</v>
      </c>
      <c r="B173" s="689"/>
      <c r="C173" s="689"/>
      <c r="D173" s="689"/>
      <c r="E173" s="689"/>
      <c r="F173" s="689"/>
      <c r="G173" s="689"/>
      <c r="H173" s="689"/>
      <c r="I173" s="689"/>
      <c r="J173" s="689"/>
      <c r="K173" s="689"/>
      <c r="L173" s="689"/>
      <c r="M173" s="689"/>
      <c r="N173" s="22"/>
      <c r="O173" s="411"/>
      <c r="P173" s="585"/>
      <c r="Q173" s="665" t="s">
        <v>534</v>
      </c>
      <c r="R173" s="1032" t="s">
        <v>531</v>
      </c>
      <c r="S173" s="585" t="s">
        <v>539</v>
      </c>
      <c r="T173" s="585"/>
      <c r="U173" s="585"/>
      <c r="V173" s="585"/>
      <c r="W173" s="585"/>
      <c r="X173" s="585"/>
      <c r="Y173" s="585"/>
      <c r="AD173" s="594"/>
      <c r="AE173" s="594"/>
      <c r="AF173" s="594"/>
      <c r="AG173" s="594"/>
      <c r="AH173" s="594"/>
      <c r="AI173" s="594"/>
      <c r="AJ173" s="594"/>
      <c r="AK173" s="594"/>
      <c r="AL173" s="594"/>
      <c r="AM173" s="594"/>
      <c r="AN173" s="594"/>
      <c r="AO173" s="594"/>
      <c r="AP173" s="594"/>
      <c r="AQ173" s="594"/>
      <c r="AR173" s="594"/>
      <c r="AS173" s="594"/>
      <c r="AT173" s="594"/>
      <c r="AU173" s="594"/>
      <c r="AV173" s="594"/>
      <c r="AW173" s="595"/>
      <c r="AX173" s="585"/>
      <c r="AY173" s="585"/>
      <c r="AZ173" s="585"/>
      <c r="BA173" s="585"/>
      <c r="BB173" s="585"/>
      <c r="BC173" s="585"/>
      <c r="BD173" s="585"/>
      <c r="BE173" s="585"/>
      <c r="BF173" s="585"/>
      <c r="BG173" s="585"/>
      <c r="BH173" s="585"/>
      <c r="BI173" s="585"/>
      <c r="BJ173" s="585"/>
      <c r="BK173" s="535"/>
      <c r="BL173" s="535"/>
      <c r="BM173" s="535"/>
      <c r="BN173" s="535"/>
      <c r="BO173" s="535"/>
      <c r="BP173" s="535"/>
      <c r="BQ173" s="535"/>
      <c r="BR173" s="535"/>
      <c r="BS173" s="535"/>
      <c r="BT173" s="535"/>
      <c r="BU173" s="535"/>
      <c r="BV173" s="535"/>
      <c r="BW173" s="535"/>
      <c r="BX173" s="535"/>
      <c r="BY173" s="535"/>
      <c r="BZ173" s="535"/>
      <c r="CA173" s="535"/>
      <c r="CB173" s="535"/>
      <c r="CC173" s="535"/>
      <c r="CD173" s="535"/>
      <c r="CE173" s="535"/>
      <c r="CH173" s="582"/>
      <c r="CI173" s="577"/>
      <c r="CJ173" s="535"/>
      <c r="CK173" s="535"/>
      <c r="CL173" s="535"/>
      <c r="CM173" s="535"/>
      <c r="CN173" s="410"/>
      <c r="CO173" s="410"/>
      <c r="CP173" s="410"/>
      <c r="CQ173" s="410"/>
      <c r="CR173" s="410"/>
      <c r="CS173" s="410"/>
      <c r="CT173" s="410"/>
      <c r="CU173" s="410"/>
      <c r="CV173" s="410"/>
      <c r="CW173" s="410"/>
      <c r="CX173" s="410"/>
      <c r="CY173" s="410"/>
      <c r="CZ173" s="410"/>
      <c r="DA173" s="410"/>
      <c r="DB173" s="410"/>
      <c r="DC173" s="410"/>
      <c r="DD173" s="410"/>
      <c r="DE173" s="410"/>
      <c r="DF173" s="410"/>
      <c r="DG173" s="410"/>
      <c r="DH173" s="410"/>
      <c r="DI173" s="410"/>
      <c r="DJ173" s="410"/>
      <c r="DK173" s="410"/>
      <c r="DL173" s="410"/>
      <c r="DM173" s="410"/>
      <c r="DN173" s="410"/>
    </row>
    <row r="174" spans="1:118" s="412" customFormat="1" ht="17.25" customHeight="1" thickBot="1" x14ac:dyDescent="0.25">
      <c r="A174" s="26"/>
      <c r="B174" s="26"/>
      <c r="C174" s="26"/>
      <c r="D174" s="26"/>
      <c r="E174" s="26"/>
      <c r="F174" s="26"/>
      <c r="G174" s="26"/>
      <c r="H174" s="26"/>
      <c r="I174" s="26"/>
      <c r="J174" s="26"/>
      <c r="K174" s="26"/>
      <c r="L174" s="26"/>
      <c r="M174" s="26"/>
      <c r="N174" s="22"/>
      <c r="O174" s="411"/>
      <c r="P174" s="585"/>
      <c r="Q174" s="669" t="s">
        <v>540</v>
      </c>
      <c r="R174" s="1033" t="s">
        <v>854</v>
      </c>
      <c r="S174" s="412" t="s">
        <v>898</v>
      </c>
      <c r="T174" s="585"/>
      <c r="U174" s="585"/>
      <c r="V174" s="585"/>
      <c r="W174" s="585"/>
      <c r="X174" s="585"/>
      <c r="Y174" s="585"/>
      <c r="AD174" s="594"/>
      <c r="AE174" s="594"/>
      <c r="AF174" s="594"/>
      <c r="AG174" s="594"/>
      <c r="AH174" s="594"/>
      <c r="AI174" s="594"/>
      <c r="AJ174" s="594"/>
      <c r="AK174" s="594"/>
      <c r="AL174" s="594"/>
      <c r="AM174" s="594"/>
      <c r="AN174" s="594"/>
      <c r="AO174" s="594"/>
      <c r="AP174" s="594"/>
      <c r="AQ174" s="594"/>
      <c r="AR174" s="594"/>
      <c r="AS174" s="594"/>
      <c r="AT174" s="594"/>
      <c r="AU174" s="594"/>
      <c r="AV174" s="594"/>
      <c r="AW174" s="595"/>
      <c r="AX174" s="585"/>
      <c r="AY174" s="585"/>
      <c r="AZ174" s="585"/>
      <c r="BA174" s="585"/>
      <c r="BB174" s="585"/>
      <c r="BC174" s="585"/>
      <c r="BD174" s="585"/>
      <c r="BE174" s="585"/>
      <c r="BF174" s="585"/>
      <c r="BG174" s="585"/>
      <c r="BH174" s="585"/>
      <c r="BI174" s="585"/>
      <c r="BJ174" s="585"/>
      <c r="BK174" s="535"/>
      <c r="BL174" s="535"/>
      <c r="BM174" s="535"/>
      <c r="BN174" s="535"/>
      <c r="BO174" s="535"/>
      <c r="BP174" s="535"/>
      <c r="BQ174" s="535"/>
      <c r="BR174" s="535"/>
      <c r="BS174" s="535"/>
      <c r="BT174" s="535"/>
      <c r="BU174" s="535"/>
      <c r="BV174" s="535"/>
      <c r="BW174" s="535"/>
      <c r="BX174" s="535"/>
      <c r="BY174" s="535"/>
      <c r="BZ174" s="535"/>
      <c r="CA174" s="535"/>
      <c r="CB174" s="535"/>
      <c r="CC174" s="535"/>
      <c r="CD174" s="535"/>
      <c r="CE174" s="535"/>
      <c r="CH174" s="582"/>
      <c r="CI174" s="577"/>
      <c r="CJ174" s="535"/>
      <c r="CK174" s="535"/>
      <c r="CL174" s="535"/>
      <c r="CM174" s="535"/>
      <c r="CN174" s="410"/>
      <c r="CO174" s="410"/>
      <c r="CP174" s="410"/>
      <c r="CQ174" s="410"/>
      <c r="CR174" s="410"/>
      <c r="CS174" s="410"/>
      <c r="CT174" s="410"/>
      <c r="CU174" s="410"/>
      <c r="CV174" s="410"/>
      <c r="CW174" s="410"/>
      <c r="CX174" s="410"/>
      <c r="CY174" s="410"/>
      <c r="CZ174" s="410"/>
      <c r="DA174" s="410"/>
      <c r="DB174" s="410"/>
      <c r="DC174" s="410"/>
      <c r="DD174" s="410"/>
      <c r="DE174" s="410"/>
      <c r="DF174" s="410"/>
      <c r="DG174" s="410"/>
      <c r="DH174" s="410"/>
      <c r="DI174" s="410"/>
      <c r="DJ174" s="410"/>
      <c r="DK174" s="410"/>
      <c r="DL174" s="410"/>
      <c r="DM174" s="410"/>
      <c r="DN174" s="410"/>
    </row>
    <row r="175" spans="1:118" s="412" customFormat="1" ht="17.25" customHeight="1" x14ac:dyDescent="0.25">
      <c r="A175" s="1550" t="s">
        <v>875</v>
      </c>
      <c r="B175" s="1551"/>
      <c r="C175" s="1551"/>
      <c r="D175" s="1551"/>
      <c r="E175" s="1551"/>
      <c r="F175" s="1552"/>
      <c r="G175" s="1552"/>
      <c r="H175" s="2270"/>
      <c r="I175" s="2271"/>
      <c r="J175" s="2272"/>
      <c r="K175" s="1553" t="s">
        <v>874</v>
      </c>
      <c r="L175" s="1554"/>
      <c r="M175" s="1555"/>
      <c r="N175" s="699"/>
      <c r="O175" s="699"/>
      <c r="Q175" s="686" t="s">
        <v>520</v>
      </c>
      <c r="R175" s="1034"/>
      <c r="S175" s="585" t="s">
        <v>2</v>
      </c>
      <c r="T175" s="585"/>
      <c r="U175" s="585"/>
      <c r="V175" s="585"/>
      <c r="W175" s="585"/>
      <c r="X175" s="585"/>
      <c r="Y175" s="585"/>
      <c r="AD175" s="594"/>
      <c r="AE175" s="594"/>
      <c r="AF175" s="594"/>
      <c r="AG175" s="594"/>
      <c r="AH175" s="594"/>
      <c r="AI175" s="594"/>
      <c r="AJ175" s="594"/>
      <c r="AK175" s="594"/>
      <c r="AL175" s="594"/>
      <c r="AM175" s="594"/>
      <c r="AN175" s="594"/>
      <c r="AO175" s="594"/>
      <c r="AP175" s="594"/>
      <c r="AQ175" s="594"/>
      <c r="AR175" s="594"/>
      <c r="AS175" s="594"/>
      <c r="AT175" s="594"/>
      <c r="AU175" s="594"/>
      <c r="AV175" s="594"/>
      <c r="AW175" s="595"/>
      <c r="AX175" s="585"/>
      <c r="AY175" s="585"/>
      <c r="AZ175" s="585"/>
      <c r="BA175" s="585"/>
      <c r="BB175" s="585"/>
      <c r="BC175" s="585"/>
      <c r="BD175" s="585"/>
      <c r="BE175" s="585"/>
      <c r="BF175" s="585"/>
      <c r="BG175" s="585"/>
      <c r="BH175" s="585"/>
      <c r="BI175" s="585"/>
      <c r="BJ175" s="585"/>
      <c r="BK175" s="535"/>
      <c r="BL175" s="535"/>
      <c r="BM175" s="535"/>
      <c r="BN175" s="535"/>
      <c r="BO175" s="535"/>
      <c r="BP175" s="535"/>
      <c r="BQ175" s="535"/>
      <c r="BR175" s="535"/>
      <c r="BS175" s="535"/>
      <c r="BT175" s="535"/>
      <c r="BU175" s="535"/>
      <c r="BV175" s="535"/>
      <c r="BW175" s="535"/>
      <c r="BX175" s="535"/>
      <c r="BY175" s="535"/>
      <c r="BZ175" s="535"/>
      <c r="CA175" s="535"/>
      <c r="CB175" s="535"/>
      <c r="CC175" s="535"/>
      <c r="CD175" s="535"/>
      <c r="CE175" s="535"/>
      <c r="CH175" s="582"/>
      <c r="CI175" s="577"/>
      <c r="CJ175" s="535"/>
      <c r="CK175" s="535"/>
      <c r="CL175" s="535"/>
      <c r="CM175" s="535"/>
      <c r="CN175" s="410"/>
      <c r="CO175" s="410"/>
      <c r="CP175" s="410"/>
      <c r="CQ175" s="410"/>
      <c r="CR175" s="410"/>
      <c r="CS175" s="410"/>
      <c r="CT175" s="410"/>
      <c r="CU175" s="410"/>
      <c r="CV175" s="410"/>
      <c r="CW175" s="410"/>
      <c r="CX175" s="410"/>
      <c r="CY175" s="410"/>
      <c r="CZ175" s="410"/>
      <c r="DA175" s="410"/>
      <c r="DB175" s="410"/>
      <c r="DC175" s="410"/>
      <c r="DD175" s="410"/>
      <c r="DE175" s="410"/>
      <c r="DF175" s="410"/>
      <c r="DG175" s="410"/>
      <c r="DH175" s="410"/>
      <c r="DI175" s="410"/>
      <c r="DJ175" s="410"/>
      <c r="DK175" s="410"/>
      <c r="DL175" s="410"/>
      <c r="DM175" s="410"/>
      <c r="DN175" s="410"/>
    </row>
    <row r="176" spans="1:118" s="412" customFormat="1" ht="17.25" customHeight="1" x14ac:dyDescent="0.25">
      <c r="A176" s="1145" t="s">
        <v>876</v>
      </c>
      <c r="B176" s="1038"/>
      <c r="C176" s="1038"/>
      <c r="D176" s="1038"/>
      <c r="E176" s="1038"/>
      <c r="F176" s="1146"/>
      <c r="G176" s="1146"/>
      <c r="H176" s="2135"/>
      <c r="I176" s="2136"/>
      <c r="J176" s="2137"/>
      <c r="K176" s="1147" t="s">
        <v>874</v>
      </c>
      <c r="L176" s="1105"/>
      <c r="M176" s="1148"/>
      <c r="N176" s="699"/>
      <c r="O176" s="699"/>
      <c r="P176" s="412" t="s">
        <v>885</v>
      </c>
      <c r="Q176" s="585">
        <f>+Q157</f>
        <v>0</v>
      </c>
      <c r="R176" s="585">
        <f>+R157</f>
        <v>0</v>
      </c>
      <c r="S176" s="594">
        <f>IF(Q176=0,0,R176/Q176*100)</f>
        <v>0</v>
      </c>
      <c r="T176" s="585"/>
      <c r="U176" s="585"/>
      <c r="V176" s="585"/>
      <c r="W176" s="585"/>
      <c r="X176" s="585"/>
      <c r="Y176" s="585"/>
      <c r="AD176" s="594"/>
      <c r="AE176" s="594"/>
      <c r="AF176" s="594"/>
      <c r="AG176" s="594"/>
      <c r="AH176" s="594"/>
      <c r="AI176" s="594"/>
      <c r="AJ176" s="594"/>
      <c r="AK176" s="594"/>
      <c r="AL176" s="594"/>
      <c r="AM176" s="594"/>
      <c r="AN176" s="594"/>
      <c r="AO176" s="594"/>
      <c r="AP176" s="594"/>
      <c r="AQ176" s="594"/>
      <c r="AR176" s="594"/>
      <c r="AS176" s="594"/>
      <c r="AT176" s="594"/>
      <c r="AU176" s="594"/>
      <c r="AV176" s="594"/>
      <c r="AW176" s="595"/>
      <c r="AX176" s="585"/>
      <c r="AY176" s="585"/>
      <c r="AZ176" s="585"/>
      <c r="BA176" s="585"/>
      <c r="BB176" s="585"/>
      <c r="BC176" s="585"/>
      <c r="BD176" s="585"/>
      <c r="BE176" s="585"/>
      <c r="BF176" s="585"/>
      <c r="BG176" s="585"/>
      <c r="BH176" s="585"/>
      <c r="BI176" s="585"/>
      <c r="BJ176" s="585"/>
      <c r="BK176" s="535"/>
      <c r="BL176" s="535"/>
      <c r="BM176" s="535"/>
      <c r="BN176" s="535"/>
      <c r="BO176" s="535"/>
      <c r="BP176" s="535"/>
      <c r="BQ176" s="535"/>
      <c r="BR176" s="535"/>
      <c r="BS176" s="535"/>
      <c r="BT176" s="535"/>
      <c r="BU176" s="535"/>
      <c r="BV176" s="535"/>
      <c r="BW176" s="535"/>
      <c r="BX176" s="535"/>
      <c r="BY176" s="535"/>
      <c r="BZ176" s="535"/>
      <c r="CA176" s="535"/>
      <c r="CB176" s="535"/>
      <c r="CC176" s="535"/>
      <c r="CD176" s="535"/>
      <c r="CE176" s="535"/>
      <c r="CH176" s="582"/>
      <c r="CI176" s="577"/>
      <c r="CJ176" s="535"/>
      <c r="CK176" s="535"/>
      <c r="CL176" s="535"/>
      <c r="CM176" s="535"/>
      <c r="CN176" s="410"/>
      <c r="CO176" s="410"/>
      <c r="CP176" s="410"/>
      <c r="CQ176" s="410"/>
      <c r="CR176" s="410"/>
      <c r="CS176" s="410"/>
      <c r="CT176" s="410"/>
      <c r="CU176" s="410"/>
      <c r="CV176" s="410"/>
      <c r="CW176" s="410"/>
      <c r="CX176" s="410"/>
      <c r="CY176" s="410"/>
      <c r="CZ176" s="410"/>
      <c r="DA176" s="410"/>
      <c r="DB176" s="410"/>
      <c r="DC176" s="410"/>
      <c r="DD176" s="410"/>
      <c r="DE176" s="410"/>
      <c r="DF176" s="410"/>
      <c r="DG176" s="410"/>
      <c r="DH176" s="410"/>
      <c r="DI176" s="410"/>
      <c r="DJ176" s="410"/>
      <c r="DK176" s="410"/>
      <c r="DL176" s="410"/>
      <c r="DM176" s="410"/>
      <c r="DN176" s="410"/>
    </row>
    <row r="177" spans="1:118" s="412" customFormat="1" ht="17.25" customHeight="1" x14ac:dyDescent="0.25">
      <c r="A177" s="1149" t="s">
        <v>1086</v>
      </c>
      <c r="B177" s="1150"/>
      <c r="C177" s="1150"/>
      <c r="D177" s="1150"/>
      <c r="E177" s="1150"/>
      <c r="F177" s="1151"/>
      <c r="G177" s="1151"/>
      <c r="H177" s="1976">
        <v>38</v>
      </c>
      <c r="I177" s="1977"/>
      <c r="J177" s="1978"/>
      <c r="K177" s="1152" t="s">
        <v>2</v>
      </c>
      <c r="L177" s="1152"/>
      <c r="M177" s="1153"/>
      <c r="N177" s="22"/>
      <c r="O177" s="411"/>
      <c r="P177" s="585" t="s">
        <v>562</v>
      </c>
      <c r="Q177" s="585">
        <f>+Q156</f>
        <v>0</v>
      </c>
      <c r="R177" s="585">
        <f>+R156</f>
        <v>0</v>
      </c>
      <c r="S177" s="594">
        <f>IF(Q177=0,0,R177/Q177*100)</f>
        <v>0</v>
      </c>
      <c r="T177" s="585"/>
      <c r="U177" s="585"/>
      <c r="V177" s="585"/>
      <c r="W177" s="585"/>
      <c r="X177" s="585"/>
      <c r="Y177" s="585"/>
      <c r="AD177" s="594"/>
      <c r="AE177" s="594"/>
      <c r="AF177" s="594"/>
      <c r="AG177" s="594"/>
      <c r="AH177" s="594"/>
      <c r="AI177" s="594"/>
      <c r="AJ177" s="594"/>
      <c r="AK177" s="594"/>
      <c r="AL177" s="594"/>
      <c r="AM177" s="594"/>
      <c r="AN177" s="594"/>
      <c r="AO177" s="594"/>
      <c r="AP177" s="594"/>
      <c r="AQ177" s="594"/>
      <c r="AR177" s="594"/>
      <c r="AS177" s="594"/>
      <c r="AT177" s="594"/>
      <c r="AU177" s="594"/>
      <c r="AV177" s="594"/>
      <c r="AW177" s="595"/>
      <c r="AX177" s="585"/>
      <c r="AY177" s="585"/>
      <c r="AZ177" s="585"/>
      <c r="BA177" s="585"/>
      <c r="BB177" s="585"/>
      <c r="BC177" s="585"/>
      <c r="BD177" s="585"/>
      <c r="BE177" s="585"/>
      <c r="BF177" s="585"/>
      <c r="BG177" s="585"/>
      <c r="BH177" s="585"/>
      <c r="BI177" s="585"/>
      <c r="BJ177" s="585"/>
      <c r="BK177" s="535"/>
      <c r="BL177" s="535"/>
      <c r="BM177" s="535"/>
      <c r="BN177" s="535"/>
      <c r="BO177" s="535"/>
      <c r="BP177" s="535"/>
      <c r="BQ177" s="535"/>
      <c r="BR177" s="535"/>
      <c r="BS177" s="535"/>
      <c r="BT177" s="535"/>
      <c r="BU177" s="535"/>
      <c r="BV177" s="535"/>
      <c r="BW177" s="535"/>
      <c r="BX177" s="535"/>
      <c r="BY177" s="535"/>
      <c r="BZ177" s="535"/>
      <c r="CA177" s="535"/>
      <c r="CB177" s="535"/>
      <c r="CC177" s="535"/>
      <c r="CD177" s="535"/>
      <c r="CE177" s="535"/>
      <c r="CH177" s="582"/>
      <c r="CI177" s="577"/>
      <c r="CJ177" s="535"/>
      <c r="CK177" s="535"/>
      <c r="CL177" s="535"/>
      <c r="CM177" s="535"/>
      <c r="CN177" s="410"/>
      <c r="CO177" s="410"/>
      <c r="CP177" s="410"/>
      <c r="CQ177" s="410"/>
      <c r="CR177" s="410"/>
      <c r="CS177" s="410"/>
      <c r="CT177" s="410"/>
      <c r="CU177" s="410"/>
      <c r="CV177" s="410"/>
      <c r="CW177" s="410"/>
      <c r="CX177" s="410"/>
      <c r="CY177" s="410"/>
      <c r="CZ177" s="410"/>
      <c r="DA177" s="410"/>
      <c r="DB177" s="410"/>
      <c r="DC177" s="410"/>
      <c r="DD177" s="410"/>
      <c r="DE177" s="410"/>
      <c r="DF177" s="410"/>
      <c r="DG177" s="410"/>
      <c r="DH177" s="410"/>
      <c r="DI177" s="410"/>
      <c r="DJ177" s="410"/>
      <c r="DK177" s="410"/>
      <c r="DL177" s="410"/>
      <c r="DM177" s="410"/>
      <c r="DN177" s="410"/>
    </row>
    <row r="178" spans="1:118" s="412" customFormat="1" ht="17.25" customHeight="1" x14ac:dyDescent="0.2">
      <c r="A178" s="1437" t="s">
        <v>877</v>
      </c>
      <c r="B178" s="1438"/>
      <c r="C178" s="1438"/>
      <c r="D178" s="1438"/>
      <c r="E178" s="1438"/>
      <c r="F178" s="1439"/>
      <c r="G178" s="1440" t="s">
        <v>878</v>
      </c>
      <c r="H178" s="1979">
        <f>IF(H188&gt;H186*1.2,20,IF(H188&lt;H186*0.9,-10,IF(H188=0,0,(H188/H186*100)-100)))</f>
        <v>0</v>
      </c>
      <c r="I178" s="1980"/>
      <c r="J178" s="1981"/>
      <c r="K178" s="1441" t="s">
        <v>2</v>
      </c>
      <c r="L178" s="1441"/>
      <c r="M178" s="1442"/>
      <c r="N178" s="22"/>
      <c r="O178" s="411"/>
      <c r="P178" s="585" t="s">
        <v>643</v>
      </c>
      <c r="Q178" s="585">
        <f>+Q177+Q176</f>
        <v>0</v>
      </c>
      <c r="R178" s="585">
        <f>+R177+R176</f>
        <v>0</v>
      </c>
      <c r="S178" s="594">
        <f>IF(Q178=0,0,R178/Q178*100)</f>
        <v>0</v>
      </c>
      <c r="T178" s="585"/>
      <c r="U178" s="585"/>
      <c r="V178" s="585"/>
      <c r="W178" s="585"/>
      <c r="X178" s="585"/>
      <c r="Y178" s="585"/>
      <c r="AD178" s="594"/>
      <c r="AE178" s="594"/>
      <c r="AF178" s="594"/>
      <c r="AG178" s="594"/>
      <c r="AH178" s="594"/>
      <c r="AI178" s="594"/>
      <c r="AJ178" s="594"/>
      <c r="AK178" s="594"/>
      <c r="AL178" s="594"/>
      <c r="AM178" s="594"/>
      <c r="AN178" s="594"/>
      <c r="AO178" s="594"/>
      <c r="AP178" s="594"/>
      <c r="AQ178" s="594"/>
      <c r="AR178" s="594"/>
      <c r="AS178" s="594"/>
      <c r="AT178" s="594"/>
      <c r="AU178" s="594"/>
      <c r="AV178" s="594"/>
      <c r="AW178" s="595"/>
      <c r="AX178" s="585"/>
      <c r="AY178" s="585"/>
      <c r="AZ178" s="585"/>
      <c r="BA178" s="585"/>
      <c r="BB178" s="585"/>
      <c r="BC178" s="585"/>
      <c r="BD178" s="585"/>
      <c r="BE178" s="585"/>
      <c r="BF178" s="585"/>
      <c r="BG178" s="585"/>
      <c r="BH178" s="585"/>
      <c r="BI178" s="585"/>
      <c r="BJ178" s="585"/>
      <c r="BK178" s="535"/>
      <c r="BL178" s="535"/>
      <c r="BM178" s="535"/>
      <c r="BN178" s="535"/>
      <c r="BO178" s="535"/>
      <c r="BP178" s="535"/>
      <c r="BQ178" s="535"/>
      <c r="BR178" s="535"/>
      <c r="BS178" s="535"/>
      <c r="BT178" s="535"/>
      <c r="BU178" s="535"/>
      <c r="BV178" s="535"/>
      <c r="BW178" s="535"/>
      <c r="BX178" s="535"/>
      <c r="BY178" s="535"/>
      <c r="BZ178" s="535"/>
      <c r="CA178" s="535"/>
      <c r="CB178" s="535"/>
      <c r="CC178" s="535"/>
      <c r="CD178" s="535"/>
      <c r="CE178" s="535"/>
      <c r="CH178" s="582"/>
      <c r="CI178" s="577"/>
      <c r="CJ178" s="535"/>
      <c r="CK178" s="535"/>
      <c r="CL178" s="535"/>
      <c r="CM178" s="535"/>
      <c r="CN178" s="410"/>
      <c r="CO178" s="410"/>
      <c r="CP178" s="410"/>
      <c r="CQ178" s="410"/>
      <c r="CR178" s="410"/>
      <c r="CS178" s="410"/>
      <c r="CT178" s="410"/>
      <c r="CU178" s="410"/>
      <c r="CV178" s="410"/>
      <c r="CW178" s="410"/>
      <c r="CX178" s="410"/>
      <c r="CY178" s="410"/>
      <c r="CZ178" s="410"/>
      <c r="DA178" s="410"/>
      <c r="DB178" s="410"/>
      <c r="DC178" s="410"/>
      <c r="DD178" s="410"/>
      <c r="DE178" s="410"/>
      <c r="DF178" s="410"/>
      <c r="DG178" s="410"/>
      <c r="DH178" s="410"/>
      <c r="DI178" s="410"/>
      <c r="DJ178" s="410"/>
      <c r="DK178" s="410"/>
      <c r="DL178" s="410"/>
      <c r="DM178" s="410"/>
      <c r="DN178" s="410"/>
    </row>
    <row r="179" spans="1:118" s="412" customFormat="1" ht="17.25" customHeight="1" thickBot="1" x14ac:dyDescent="0.3">
      <c r="A179" s="1138" t="s">
        <v>1053</v>
      </c>
      <c r="B179" s="1042"/>
      <c r="C179" s="1042"/>
      <c r="D179" s="1042"/>
      <c r="E179" s="1042"/>
      <c r="F179" s="1137"/>
      <c r="G179" s="1595" t="str">
        <f>IF(H179=""," ",IF(H179&gt;H178+0.1,"!!Zahl muss ≤ Vorschlag sein!!"," "))</f>
        <v xml:space="preserve"> </v>
      </c>
      <c r="H179" s="1982"/>
      <c r="I179" s="1983"/>
      <c r="J179" s="1984"/>
      <c r="K179" s="26" t="s">
        <v>2</v>
      </c>
      <c r="L179" s="26"/>
      <c r="M179" s="1139"/>
      <c r="N179" s="22"/>
      <c r="O179" s="411"/>
      <c r="P179" s="585"/>
      <c r="Q179" s="585"/>
      <c r="R179" s="585"/>
      <c r="S179" s="585"/>
      <c r="T179" s="585"/>
      <c r="U179" s="585"/>
      <c r="V179" s="585"/>
      <c r="W179" s="585"/>
      <c r="X179" s="585"/>
      <c r="Y179" s="585"/>
      <c r="AD179" s="594"/>
      <c r="AE179" s="594"/>
      <c r="AF179" s="594"/>
      <c r="AG179" s="594"/>
      <c r="AH179" s="594"/>
      <c r="AI179" s="594"/>
      <c r="AJ179" s="594"/>
      <c r="AK179" s="594"/>
      <c r="AL179" s="594"/>
      <c r="AM179" s="594"/>
      <c r="AN179" s="594"/>
      <c r="AO179" s="594"/>
      <c r="AP179" s="594"/>
      <c r="AQ179" s="594"/>
      <c r="AR179" s="594"/>
      <c r="AS179" s="594"/>
      <c r="AT179" s="594"/>
      <c r="AU179" s="594"/>
      <c r="AV179" s="594"/>
      <c r="AW179" s="595"/>
      <c r="AX179" s="585"/>
      <c r="AY179" s="585"/>
      <c r="AZ179" s="585"/>
      <c r="BA179" s="585"/>
      <c r="BB179" s="585"/>
      <c r="BC179" s="585"/>
      <c r="BD179" s="585"/>
      <c r="BE179" s="585"/>
      <c r="BF179" s="585"/>
      <c r="BG179" s="585"/>
      <c r="BH179" s="585"/>
      <c r="BI179" s="585"/>
      <c r="BJ179" s="585"/>
      <c r="BK179" s="535"/>
      <c r="BL179" s="535"/>
      <c r="BM179" s="535"/>
      <c r="BN179" s="535"/>
      <c r="BO179" s="535"/>
      <c r="BP179" s="535"/>
      <c r="BQ179" s="535"/>
      <c r="BR179" s="535"/>
      <c r="BS179" s="535"/>
      <c r="BT179" s="535"/>
      <c r="BU179" s="535"/>
      <c r="BV179" s="535"/>
      <c r="BW179" s="535"/>
      <c r="BX179" s="535"/>
      <c r="BY179" s="535"/>
      <c r="BZ179" s="535"/>
      <c r="CA179" s="535"/>
      <c r="CB179" s="535"/>
      <c r="CC179" s="535"/>
      <c r="CD179" s="535"/>
      <c r="CE179" s="535"/>
      <c r="CH179" s="582"/>
      <c r="CI179" s="577"/>
      <c r="CJ179" s="535"/>
      <c r="CK179" s="535"/>
      <c r="CL179" s="535"/>
      <c r="CM179" s="535"/>
      <c r="CN179" s="410"/>
      <c r="CO179" s="410"/>
      <c r="CP179" s="410"/>
      <c r="CQ179" s="410"/>
      <c r="CR179" s="410"/>
      <c r="CS179" s="410"/>
      <c r="CT179" s="410"/>
      <c r="CU179" s="410"/>
      <c r="CV179" s="410"/>
      <c r="CW179" s="410"/>
      <c r="CX179" s="410"/>
      <c r="CY179" s="410"/>
      <c r="CZ179" s="410"/>
      <c r="DA179" s="410"/>
      <c r="DB179" s="410"/>
      <c r="DC179" s="410"/>
      <c r="DD179" s="410"/>
      <c r="DE179" s="410"/>
      <c r="DF179" s="410"/>
      <c r="DG179" s="410"/>
      <c r="DH179" s="410"/>
      <c r="DI179" s="410"/>
      <c r="DJ179" s="410"/>
      <c r="DK179" s="410"/>
      <c r="DL179" s="410"/>
      <c r="DM179" s="410"/>
      <c r="DN179" s="410"/>
    </row>
    <row r="180" spans="1:118" s="412" customFormat="1" ht="17.25" customHeight="1" thickBot="1" x14ac:dyDescent="0.25">
      <c r="A180" s="1140" t="s">
        <v>980</v>
      </c>
      <c r="B180" s="1141"/>
      <c r="C180" s="1141"/>
      <c r="D180" s="1141"/>
      <c r="E180" s="1141"/>
      <c r="F180" s="1079"/>
      <c r="G180" s="1079"/>
      <c r="H180" s="2242"/>
      <c r="I180" s="2243"/>
      <c r="J180" s="2244"/>
      <c r="K180" s="1142" t="s">
        <v>979</v>
      </c>
      <c r="L180" s="1143"/>
      <c r="M180" s="1144"/>
      <c r="N180" s="22"/>
      <c r="O180" s="411"/>
      <c r="P180" s="585"/>
      <c r="Q180" s="585"/>
      <c r="R180" s="585"/>
      <c r="S180" s="585"/>
      <c r="T180" s="585"/>
      <c r="U180" s="585"/>
      <c r="V180" s="585"/>
      <c r="W180" s="585"/>
      <c r="X180" s="585"/>
      <c r="Y180" s="585"/>
      <c r="AD180" s="594"/>
      <c r="AE180" s="594"/>
      <c r="AF180" s="594"/>
      <c r="AG180" s="594"/>
      <c r="AH180" s="594"/>
      <c r="AI180" s="594"/>
      <c r="AJ180" s="594"/>
      <c r="AK180" s="594"/>
      <c r="AL180" s="594"/>
      <c r="AM180" s="594"/>
      <c r="AN180" s="594"/>
      <c r="AO180" s="594"/>
      <c r="AP180" s="594"/>
      <c r="AQ180" s="594"/>
      <c r="AR180" s="594"/>
      <c r="AS180" s="594"/>
      <c r="AT180" s="594"/>
      <c r="AU180" s="594"/>
      <c r="AV180" s="594"/>
      <c r="AW180" s="595"/>
      <c r="AX180" s="585"/>
      <c r="AY180" s="585"/>
      <c r="AZ180" s="585"/>
      <c r="BA180" s="585"/>
      <c r="BB180" s="585"/>
      <c r="BC180" s="585"/>
      <c r="BD180" s="585"/>
      <c r="BE180" s="585"/>
      <c r="BF180" s="585"/>
      <c r="BG180" s="585"/>
      <c r="BH180" s="585"/>
      <c r="BI180" s="585"/>
      <c r="BJ180" s="585"/>
      <c r="BK180" s="535"/>
      <c r="BL180" s="535"/>
      <c r="BM180" s="535"/>
      <c r="BN180" s="535"/>
      <c r="BO180" s="535"/>
      <c r="BP180" s="535"/>
      <c r="BQ180" s="535"/>
      <c r="BR180" s="535"/>
      <c r="BS180" s="535"/>
      <c r="BT180" s="535"/>
      <c r="BU180" s="535"/>
      <c r="BV180" s="535"/>
      <c r="BW180" s="535"/>
      <c r="BX180" s="535"/>
      <c r="BY180" s="535"/>
      <c r="BZ180" s="535"/>
      <c r="CA180" s="535"/>
      <c r="CB180" s="535"/>
      <c r="CC180" s="535"/>
      <c r="CD180" s="535"/>
      <c r="CE180" s="535"/>
      <c r="CH180" s="582"/>
      <c r="CI180" s="577"/>
      <c r="CJ180" s="535"/>
      <c r="CK180" s="535"/>
      <c r="CL180" s="535"/>
      <c r="CM180" s="535"/>
      <c r="CN180" s="410"/>
      <c r="CO180" s="410"/>
      <c r="CP180" s="410"/>
      <c r="CQ180" s="410"/>
      <c r="CR180" s="410"/>
      <c r="CS180" s="410"/>
      <c r="CT180" s="410"/>
      <c r="CU180" s="410"/>
      <c r="CV180" s="410"/>
      <c r="CW180" s="410"/>
      <c r="CX180" s="410"/>
      <c r="CY180" s="410"/>
      <c r="CZ180" s="410"/>
      <c r="DA180" s="410"/>
      <c r="DB180" s="410"/>
      <c r="DC180" s="410"/>
      <c r="DD180" s="410"/>
      <c r="DE180" s="410"/>
      <c r="DF180" s="410"/>
      <c r="DG180" s="410"/>
      <c r="DH180" s="410"/>
      <c r="DI180" s="410"/>
      <c r="DJ180" s="410"/>
      <c r="DK180" s="410"/>
      <c r="DL180" s="410"/>
      <c r="DM180" s="410"/>
      <c r="DN180" s="410"/>
    </row>
    <row r="181" spans="1:118" s="456" customFormat="1" ht="17.25" customHeight="1" thickBot="1" x14ac:dyDescent="0.3">
      <c r="A181" s="1036"/>
      <c r="B181" s="1036"/>
      <c r="C181" s="1036"/>
      <c r="D181" s="1036"/>
      <c r="E181" s="1037"/>
      <c r="F181" s="1039"/>
      <c r="G181" s="1039"/>
      <c r="H181" s="27"/>
      <c r="I181" s="27"/>
      <c r="J181" s="27"/>
      <c r="K181" s="27"/>
      <c r="L181" s="27"/>
      <c r="M181" s="27"/>
      <c r="N181" s="22"/>
      <c r="O181" s="411"/>
      <c r="P181" s="585"/>
      <c r="Q181" s="585"/>
      <c r="R181" s="585"/>
      <c r="S181" s="585"/>
      <c r="T181" s="585"/>
      <c r="U181" s="585"/>
      <c r="V181" s="585"/>
      <c r="W181" s="585"/>
      <c r="X181" s="585"/>
      <c r="Y181" s="585"/>
      <c r="AD181" s="594"/>
      <c r="AE181" s="594"/>
      <c r="AF181" s="594"/>
      <c r="AG181" s="594"/>
      <c r="AH181" s="594"/>
      <c r="AI181" s="594"/>
      <c r="AJ181" s="594"/>
      <c r="AK181" s="594"/>
      <c r="AL181" s="594"/>
      <c r="AM181" s="594"/>
      <c r="AN181" s="594"/>
      <c r="AO181" s="594"/>
      <c r="AP181" s="594"/>
      <c r="AQ181" s="594"/>
      <c r="AR181" s="594"/>
      <c r="AS181" s="594"/>
      <c r="AT181" s="594"/>
      <c r="AU181" s="594"/>
      <c r="AV181" s="594"/>
      <c r="AW181" s="595"/>
      <c r="AX181" s="585"/>
      <c r="AY181" s="585"/>
      <c r="AZ181" s="585"/>
      <c r="BA181" s="585"/>
      <c r="BB181" s="585"/>
      <c r="BC181" s="585"/>
      <c r="BD181" s="585"/>
      <c r="BE181" s="585"/>
      <c r="BF181" s="585"/>
      <c r="BG181" s="585"/>
      <c r="BH181" s="585"/>
      <c r="BI181" s="585"/>
      <c r="BJ181" s="585"/>
      <c r="BK181" s="535"/>
      <c r="BL181" s="535"/>
      <c r="BM181" s="535"/>
      <c r="BN181" s="535"/>
      <c r="BO181" s="535"/>
      <c r="BP181" s="535"/>
      <c r="BQ181" s="535"/>
      <c r="BR181" s="535"/>
      <c r="BS181" s="535"/>
      <c r="BT181" s="535"/>
      <c r="BU181" s="535"/>
      <c r="BV181" s="535"/>
      <c r="BW181" s="535"/>
      <c r="BX181" s="535"/>
      <c r="BY181" s="535"/>
      <c r="BZ181" s="535"/>
      <c r="CA181" s="535"/>
      <c r="CB181" s="535"/>
      <c r="CC181" s="535"/>
      <c r="CD181" s="535"/>
      <c r="CE181" s="535"/>
      <c r="CH181" s="581"/>
      <c r="CI181" s="564"/>
      <c r="CJ181" s="535"/>
      <c r="CK181" s="535"/>
      <c r="CL181" s="535"/>
      <c r="CM181" s="535"/>
      <c r="CN181" s="410"/>
      <c r="CO181" s="410"/>
      <c r="CP181" s="410"/>
      <c r="CQ181" s="410"/>
      <c r="CR181" s="410"/>
      <c r="CS181" s="410"/>
      <c r="CT181" s="410"/>
      <c r="CU181" s="410"/>
      <c r="CV181" s="410"/>
      <c r="CW181" s="410"/>
      <c r="CX181" s="410"/>
      <c r="CY181" s="410"/>
      <c r="CZ181" s="410"/>
      <c r="DA181" s="410"/>
      <c r="DB181" s="410"/>
      <c r="DC181" s="410"/>
      <c r="DD181" s="410"/>
      <c r="DE181" s="410"/>
      <c r="DF181" s="410"/>
      <c r="DG181" s="410"/>
      <c r="DH181" s="410"/>
      <c r="DI181" s="410"/>
      <c r="DJ181" s="410"/>
      <c r="DK181" s="410"/>
      <c r="DL181" s="410"/>
      <c r="DM181" s="410"/>
      <c r="DN181" s="410"/>
    </row>
    <row r="182" spans="1:118" s="456" customFormat="1" ht="17.25" customHeight="1" x14ac:dyDescent="0.25">
      <c r="A182" s="1443"/>
      <c r="B182" s="1444"/>
      <c r="C182" s="1444"/>
      <c r="D182" s="1444"/>
      <c r="E182" s="1444"/>
      <c r="F182" s="1444"/>
      <c r="G182" s="1445"/>
      <c r="H182" s="1446"/>
      <c r="I182" s="1447" t="s">
        <v>1054</v>
      </c>
      <c r="J182" s="1448"/>
      <c r="K182" s="27"/>
      <c r="L182" s="27"/>
      <c r="M182" s="27"/>
      <c r="N182" s="22"/>
      <c r="O182" s="411"/>
      <c r="P182" s="585"/>
      <c r="Q182" s="585"/>
      <c r="R182" s="585"/>
      <c r="S182" s="585"/>
      <c r="T182" s="585"/>
      <c r="U182" s="585"/>
      <c r="V182" s="585"/>
      <c r="W182" s="585"/>
      <c r="X182" s="585"/>
      <c r="Y182" s="585"/>
      <c r="AD182" s="594"/>
      <c r="AE182" s="594"/>
      <c r="AF182" s="594"/>
      <c r="AG182" s="594"/>
      <c r="AH182" s="594"/>
      <c r="AI182" s="594"/>
      <c r="AJ182" s="594"/>
      <c r="AK182" s="594"/>
      <c r="AL182" s="594"/>
      <c r="AM182" s="594"/>
      <c r="AN182" s="594"/>
      <c r="AO182" s="594"/>
      <c r="AP182" s="594"/>
      <c r="AQ182" s="594"/>
      <c r="AR182" s="594"/>
      <c r="AS182" s="594"/>
      <c r="AT182" s="594"/>
      <c r="AU182" s="594"/>
      <c r="AV182" s="594"/>
      <c r="AW182" s="595"/>
      <c r="AX182" s="585"/>
      <c r="AY182" s="585"/>
      <c r="AZ182" s="585"/>
      <c r="BA182" s="585"/>
      <c r="BB182" s="585"/>
      <c r="BC182" s="585"/>
      <c r="BD182" s="585"/>
      <c r="BE182" s="585"/>
      <c r="BF182" s="585"/>
      <c r="BG182" s="585"/>
      <c r="BH182" s="585"/>
      <c r="BI182" s="585"/>
      <c r="BJ182" s="585"/>
      <c r="BK182" s="535"/>
      <c r="BL182" s="535"/>
      <c r="BM182" s="535"/>
      <c r="BN182" s="535"/>
      <c r="BO182" s="535"/>
      <c r="BP182" s="535"/>
      <c r="BQ182" s="535"/>
      <c r="BR182" s="535"/>
      <c r="BS182" s="535"/>
      <c r="BT182" s="535"/>
      <c r="BU182" s="535"/>
      <c r="BV182" s="535"/>
      <c r="BW182" s="535"/>
      <c r="BX182" s="535"/>
      <c r="BY182" s="535"/>
      <c r="BZ182" s="535"/>
      <c r="CA182" s="535"/>
      <c r="CB182" s="535"/>
      <c r="CC182" s="535"/>
      <c r="CD182" s="535"/>
      <c r="CE182" s="535"/>
      <c r="CH182" s="581"/>
      <c r="CI182" s="564"/>
      <c r="CJ182" s="535"/>
      <c r="CK182" s="535"/>
      <c r="CL182" s="535"/>
      <c r="CM182" s="535"/>
      <c r="CN182" s="410"/>
      <c r="CO182" s="410"/>
      <c r="CP182" s="410"/>
      <c r="CQ182" s="410"/>
      <c r="CR182" s="410"/>
      <c r="CS182" s="410"/>
      <c r="CT182" s="410"/>
      <c r="CU182" s="410"/>
      <c r="CV182" s="410"/>
      <c r="CW182" s="410"/>
      <c r="CX182" s="410"/>
      <c r="CY182" s="410"/>
      <c r="CZ182" s="410"/>
      <c r="DA182" s="410"/>
      <c r="DB182" s="410"/>
      <c r="DC182" s="410"/>
      <c r="DD182" s="410"/>
      <c r="DE182" s="410"/>
      <c r="DF182" s="410"/>
      <c r="DG182" s="410"/>
      <c r="DH182" s="410"/>
      <c r="DI182" s="410"/>
      <c r="DJ182" s="410"/>
      <c r="DK182" s="410"/>
      <c r="DL182" s="410"/>
      <c r="DM182" s="410"/>
      <c r="DN182" s="410"/>
    </row>
    <row r="183" spans="1:118" s="456" customFormat="1" ht="9.75" customHeight="1" x14ac:dyDescent="0.2">
      <c r="A183" s="1449"/>
      <c r="B183" s="1450"/>
      <c r="C183" s="1450"/>
      <c r="D183" s="1450"/>
      <c r="E183" s="1450"/>
      <c r="F183" s="1450"/>
      <c r="G183" s="1451"/>
      <c r="H183" s="1452"/>
      <c r="I183" s="1453"/>
      <c r="J183" s="1454"/>
      <c r="K183" s="27"/>
      <c r="L183" s="27"/>
      <c r="M183" s="27"/>
      <c r="N183" s="22"/>
      <c r="O183" s="411"/>
      <c r="P183" s="585"/>
      <c r="Q183" s="585"/>
      <c r="R183" s="585"/>
      <c r="S183" s="585"/>
      <c r="T183" s="585"/>
      <c r="U183" s="585"/>
      <c r="V183" s="585"/>
      <c r="W183" s="585"/>
      <c r="X183" s="585"/>
      <c r="Y183" s="585"/>
      <c r="AD183" s="594"/>
      <c r="AE183" s="594"/>
      <c r="AF183" s="594"/>
      <c r="AG183" s="594"/>
      <c r="AH183" s="594"/>
      <c r="AI183" s="594"/>
      <c r="AJ183" s="594"/>
      <c r="AK183" s="594"/>
      <c r="AL183" s="594"/>
      <c r="AM183" s="594"/>
      <c r="AN183" s="594"/>
      <c r="AO183" s="594"/>
      <c r="AP183" s="594"/>
      <c r="AQ183" s="594"/>
      <c r="AR183" s="594"/>
      <c r="AS183" s="594"/>
      <c r="AT183" s="594"/>
      <c r="AU183" s="594"/>
      <c r="AV183" s="594"/>
      <c r="AW183" s="595"/>
      <c r="AX183" s="585"/>
      <c r="AY183" s="585"/>
      <c r="AZ183" s="585"/>
      <c r="BA183" s="585"/>
      <c r="BB183" s="585"/>
      <c r="BC183" s="585"/>
      <c r="BD183" s="585"/>
      <c r="BE183" s="585"/>
      <c r="BF183" s="585"/>
      <c r="BG183" s="585"/>
      <c r="BH183" s="585"/>
      <c r="BI183" s="585"/>
      <c r="BJ183" s="585"/>
      <c r="BK183" s="535"/>
      <c r="BL183" s="535"/>
      <c r="BM183" s="535"/>
      <c r="BN183" s="535"/>
      <c r="BO183" s="535"/>
      <c r="BP183" s="535"/>
      <c r="BQ183" s="535"/>
      <c r="BR183" s="535"/>
      <c r="BS183" s="535"/>
      <c r="BT183" s="535"/>
      <c r="BU183" s="535"/>
      <c r="BV183" s="535"/>
      <c r="BW183" s="535"/>
      <c r="BX183" s="535"/>
      <c r="BY183" s="535"/>
      <c r="BZ183" s="535"/>
      <c r="CA183" s="535"/>
      <c r="CB183" s="535"/>
      <c r="CC183" s="535"/>
      <c r="CD183" s="535"/>
      <c r="CE183" s="535"/>
      <c r="CH183" s="581"/>
      <c r="CI183" s="564"/>
      <c r="CJ183" s="535"/>
      <c r="CK183" s="535"/>
      <c r="CL183" s="535"/>
      <c r="CM183" s="535"/>
      <c r="CN183" s="410"/>
      <c r="CO183" s="410"/>
      <c r="CP183" s="410"/>
      <c r="CQ183" s="410"/>
      <c r="CR183" s="410"/>
      <c r="CS183" s="410"/>
      <c r="CT183" s="410"/>
      <c r="CU183" s="410"/>
      <c r="CV183" s="410"/>
      <c r="CW183" s="410"/>
      <c r="CX183" s="410"/>
      <c r="CY183" s="410"/>
      <c r="CZ183" s="410"/>
      <c r="DA183" s="410"/>
      <c r="DB183" s="410"/>
      <c r="DC183" s="410"/>
      <c r="DD183" s="410"/>
      <c r="DE183" s="410"/>
      <c r="DF183" s="410"/>
      <c r="DG183" s="410"/>
      <c r="DH183" s="410"/>
      <c r="DI183" s="410"/>
      <c r="DJ183" s="410"/>
      <c r="DK183" s="410"/>
      <c r="DL183" s="410"/>
      <c r="DM183" s="410"/>
      <c r="DN183" s="410"/>
    </row>
    <row r="184" spans="1:118" s="456" customFormat="1" ht="17.25" customHeight="1" x14ac:dyDescent="0.25">
      <c r="A184" s="1455" t="s">
        <v>981</v>
      </c>
      <c r="B184" s="1450"/>
      <c r="C184" s="1450"/>
      <c r="D184" s="1450"/>
      <c r="E184" s="1450"/>
      <c r="F184" s="1450"/>
      <c r="G184" s="1451"/>
      <c r="H184" s="1452"/>
      <c r="I184" s="1456" t="s">
        <v>1055</v>
      </c>
      <c r="J184" s="1454"/>
      <c r="K184" s="27"/>
      <c r="L184" s="27"/>
      <c r="M184" s="27"/>
      <c r="N184" s="22"/>
      <c r="O184" s="411"/>
      <c r="P184" s="585"/>
      <c r="Q184" s="585"/>
      <c r="R184" s="585"/>
      <c r="S184" s="585"/>
      <c r="T184" s="585"/>
      <c r="U184" s="585"/>
      <c r="V184" s="585"/>
      <c r="W184" s="585"/>
      <c r="X184" s="585"/>
      <c r="Y184" s="585"/>
      <c r="AD184" s="594"/>
      <c r="AE184" s="594"/>
      <c r="AF184" s="594"/>
      <c r="AG184" s="594"/>
      <c r="AH184" s="594"/>
      <c r="AI184" s="594"/>
      <c r="AJ184" s="594"/>
      <c r="AK184" s="594"/>
      <c r="AL184" s="594"/>
      <c r="AM184" s="594"/>
      <c r="AN184" s="594"/>
      <c r="AO184" s="594"/>
      <c r="AP184" s="594"/>
      <c r="AQ184" s="594"/>
      <c r="AR184" s="594"/>
      <c r="AS184" s="594"/>
      <c r="AT184" s="594"/>
      <c r="AU184" s="594"/>
      <c r="AV184" s="594"/>
      <c r="AW184" s="595"/>
      <c r="AX184" s="585"/>
      <c r="AY184" s="585"/>
      <c r="AZ184" s="585"/>
      <c r="BA184" s="585"/>
      <c r="BB184" s="585"/>
      <c r="BC184" s="585"/>
      <c r="BD184" s="585"/>
      <c r="BE184" s="585"/>
      <c r="BF184" s="585"/>
      <c r="BG184" s="585"/>
      <c r="BH184" s="585"/>
      <c r="BI184" s="585"/>
      <c r="BJ184" s="585"/>
      <c r="BK184" s="535"/>
      <c r="BL184" s="535"/>
      <c r="BM184" s="535"/>
      <c r="BN184" s="535"/>
      <c r="BO184" s="535"/>
      <c r="BP184" s="535"/>
      <c r="BQ184" s="535"/>
      <c r="BR184" s="535"/>
      <c r="BS184" s="535"/>
      <c r="BT184" s="535"/>
      <c r="BU184" s="535"/>
      <c r="BV184" s="535"/>
      <c r="BW184" s="535"/>
      <c r="BX184" s="535"/>
      <c r="BY184" s="535"/>
      <c r="BZ184" s="535"/>
      <c r="CA184" s="535"/>
      <c r="CB184" s="535"/>
      <c r="CC184" s="535"/>
      <c r="CD184" s="535"/>
      <c r="CE184" s="535"/>
      <c r="CH184" s="581"/>
      <c r="CI184" s="564"/>
      <c r="CJ184" s="535"/>
      <c r="CK184" s="535"/>
      <c r="CL184" s="535"/>
      <c r="CM184" s="535"/>
      <c r="CN184" s="410"/>
      <c r="CO184" s="410"/>
      <c r="CP184" s="410"/>
      <c r="CQ184" s="410"/>
      <c r="CR184" s="410"/>
      <c r="CS184" s="410"/>
      <c r="CT184" s="410"/>
      <c r="CU184" s="410"/>
      <c r="CV184" s="410"/>
      <c r="CW184" s="410"/>
      <c r="CX184" s="410"/>
      <c r="CY184" s="410"/>
      <c r="CZ184" s="410"/>
      <c r="DA184" s="410"/>
      <c r="DB184" s="410"/>
      <c r="DC184" s="410"/>
      <c r="DD184" s="410"/>
      <c r="DE184" s="410"/>
      <c r="DF184" s="410"/>
      <c r="DG184" s="410"/>
      <c r="DH184" s="410"/>
      <c r="DI184" s="410"/>
      <c r="DJ184" s="410"/>
      <c r="DK184" s="410"/>
      <c r="DL184" s="410"/>
      <c r="DM184" s="410"/>
      <c r="DN184" s="410"/>
    </row>
    <row r="185" spans="1:118" s="456" customFormat="1" ht="6.75" customHeight="1" thickBot="1" x14ac:dyDescent="0.25">
      <c r="A185" s="1457"/>
      <c r="B185" s="1458"/>
      <c r="C185" s="1458"/>
      <c r="D185" s="1458"/>
      <c r="E185" s="1458"/>
      <c r="F185" s="1458"/>
      <c r="G185" s="1459"/>
      <c r="H185" s="1460"/>
      <c r="I185" s="1461"/>
      <c r="J185" s="1462"/>
      <c r="K185" s="27"/>
      <c r="L185" s="27"/>
      <c r="M185" s="27"/>
      <c r="N185" s="22"/>
      <c r="O185" s="411"/>
      <c r="P185" s="585"/>
      <c r="Q185" s="585"/>
      <c r="R185" s="585"/>
      <c r="S185" s="585"/>
      <c r="T185" s="585"/>
      <c r="U185" s="585"/>
      <c r="V185" s="585"/>
      <c r="W185" s="585"/>
      <c r="X185" s="585"/>
      <c r="Y185" s="585"/>
      <c r="AD185" s="594"/>
      <c r="AE185" s="594"/>
      <c r="AF185" s="594"/>
      <c r="AG185" s="594"/>
      <c r="AH185" s="594"/>
      <c r="AI185" s="594"/>
      <c r="AJ185" s="594"/>
      <c r="AK185" s="594"/>
      <c r="AL185" s="594"/>
      <c r="AM185" s="594"/>
      <c r="AN185" s="594"/>
      <c r="AO185" s="594"/>
      <c r="AP185" s="594"/>
      <c r="AQ185" s="594"/>
      <c r="AR185" s="594"/>
      <c r="AS185" s="594"/>
      <c r="AT185" s="594"/>
      <c r="AU185" s="594"/>
      <c r="AV185" s="594"/>
      <c r="AW185" s="595"/>
      <c r="AX185" s="585"/>
      <c r="AY185" s="585"/>
      <c r="AZ185" s="585"/>
      <c r="BA185" s="585"/>
      <c r="BB185" s="585"/>
      <c r="BC185" s="585"/>
      <c r="BD185" s="585"/>
      <c r="BE185" s="585"/>
      <c r="BF185" s="585"/>
      <c r="BG185" s="585"/>
      <c r="BH185" s="585"/>
      <c r="BI185" s="585"/>
      <c r="BJ185" s="585"/>
      <c r="BK185" s="535"/>
      <c r="BL185" s="535"/>
      <c r="BM185" s="535"/>
      <c r="BN185" s="535"/>
      <c r="BO185" s="535"/>
      <c r="BP185" s="535"/>
      <c r="BQ185" s="535"/>
      <c r="BR185" s="535"/>
      <c r="BS185" s="535"/>
      <c r="BT185" s="535"/>
      <c r="BU185" s="535"/>
      <c r="BV185" s="535"/>
      <c r="BW185" s="535"/>
      <c r="BX185" s="535"/>
      <c r="BY185" s="535"/>
      <c r="BZ185" s="535"/>
      <c r="CA185" s="535"/>
      <c r="CB185" s="535"/>
      <c r="CC185" s="535"/>
      <c r="CD185" s="535"/>
      <c r="CE185" s="535"/>
      <c r="CH185" s="581"/>
      <c r="CI185" s="564"/>
      <c r="CJ185" s="535"/>
      <c r="CK185" s="535"/>
      <c r="CL185" s="535"/>
      <c r="CM185" s="535"/>
      <c r="CN185" s="410"/>
      <c r="CO185" s="410"/>
      <c r="CP185" s="410"/>
      <c r="CQ185" s="410"/>
      <c r="CR185" s="410"/>
      <c r="CS185" s="410"/>
      <c r="CT185" s="410"/>
      <c r="CU185" s="410"/>
      <c r="CV185" s="410"/>
      <c r="CW185" s="410"/>
      <c r="CX185" s="410"/>
      <c r="CY185" s="410"/>
      <c r="CZ185" s="410"/>
      <c r="DA185" s="410"/>
      <c r="DB185" s="410"/>
      <c r="DC185" s="410"/>
      <c r="DD185" s="410"/>
      <c r="DE185" s="410"/>
      <c r="DF185" s="410"/>
      <c r="DG185" s="410"/>
      <c r="DH185" s="410"/>
      <c r="DI185" s="410"/>
      <c r="DJ185" s="410"/>
      <c r="DK185" s="410"/>
      <c r="DL185" s="410"/>
      <c r="DM185" s="410"/>
      <c r="DN185" s="410"/>
    </row>
    <row r="186" spans="1:118" s="456" customFormat="1" ht="17.25" customHeight="1" x14ac:dyDescent="0.2">
      <c r="A186" s="1886" t="s">
        <v>871</v>
      </c>
      <c r="B186" s="1887"/>
      <c r="C186" s="1887"/>
      <c r="D186" s="1887"/>
      <c r="E186" s="1887"/>
      <c r="F186" s="1887"/>
      <c r="G186" s="1887"/>
      <c r="H186" s="1968">
        <f>+Q178</f>
        <v>0</v>
      </c>
      <c r="I186" s="1969"/>
      <c r="J186" s="1970"/>
      <c r="K186" s="27"/>
      <c r="L186" s="27"/>
      <c r="M186" s="27"/>
      <c r="N186" s="22"/>
      <c r="O186" s="411"/>
      <c r="P186" s="585"/>
      <c r="Q186" s="585"/>
      <c r="R186" s="585"/>
      <c r="S186" s="585"/>
      <c r="T186" s="585"/>
      <c r="U186" s="585"/>
      <c r="V186" s="585"/>
      <c r="W186" s="585"/>
      <c r="X186" s="585"/>
      <c r="Y186" s="585"/>
      <c r="AD186" s="594"/>
      <c r="AE186" s="594"/>
      <c r="AF186" s="594"/>
      <c r="AG186" s="594"/>
      <c r="AH186" s="594"/>
      <c r="AI186" s="594"/>
      <c r="AJ186" s="594"/>
      <c r="AK186" s="594"/>
      <c r="AL186" s="594"/>
      <c r="AM186" s="594"/>
      <c r="AN186" s="594"/>
      <c r="AO186" s="594"/>
      <c r="AP186" s="594"/>
      <c r="AQ186" s="594"/>
      <c r="AR186" s="594"/>
      <c r="AS186" s="594"/>
      <c r="AT186" s="594"/>
      <c r="AU186" s="594"/>
      <c r="AV186" s="594"/>
      <c r="AW186" s="595"/>
      <c r="AX186" s="585"/>
      <c r="AY186" s="585"/>
      <c r="AZ186" s="585"/>
      <c r="BA186" s="585"/>
      <c r="BB186" s="585"/>
      <c r="BC186" s="585"/>
      <c r="BD186" s="585"/>
      <c r="BE186" s="585"/>
      <c r="BF186" s="585"/>
      <c r="BG186" s="585"/>
      <c r="BH186" s="585"/>
      <c r="BI186" s="585"/>
      <c r="BJ186" s="585"/>
      <c r="BK186" s="535"/>
      <c r="BL186" s="535"/>
      <c r="BM186" s="535"/>
      <c r="BN186" s="535"/>
      <c r="BO186" s="535"/>
      <c r="BP186" s="535"/>
      <c r="BQ186" s="535"/>
      <c r="BR186" s="535"/>
      <c r="BS186" s="535"/>
      <c r="BT186" s="535"/>
      <c r="BU186" s="535"/>
      <c r="BV186" s="535"/>
      <c r="BW186" s="535"/>
      <c r="BX186" s="535"/>
      <c r="BY186" s="535"/>
      <c r="BZ186" s="535"/>
      <c r="CA186" s="535"/>
      <c r="CB186" s="535"/>
      <c r="CC186" s="535"/>
      <c r="CD186" s="535"/>
      <c r="CE186" s="535"/>
      <c r="CH186" s="581"/>
      <c r="CI186" s="564"/>
      <c r="CJ186" s="535"/>
      <c r="CK186" s="535"/>
      <c r="CL186" s="535"/>
      <c r="CM186" s="535"/>
      <c r="CN186" s="410"/>
      <c r="CO186" s="410"/>
      <c r="CP186" s="410"/>
      <c r="CQ186" s="410"/>
      <c r="CR186" s="410"/>
      <c r="CS186" s="410"/>
      <c r="CT186" s="410"/>
      <c r="CU186" s="410"/>
      <c r="CV186" s="410"/>
      <c r="CW186" s="410"/>
      <c r="CX186" s="410"/>
      <c r="CY186" s="410"/>
      <c r="CZ186" s="410"/>
      <c r="DA186" s="410"/>
      <c r="DB186" s="410"/>
      <c r="DC186" s="410"/>
      <c r="DD186" s="410"/>
      <c r="DE186" s="410"/>
      <c r="DF186" s="410"/>
      <c r="DG186" s="410"/>
      <c r="DH186" s="410"/>
      <c r="DI186" s="410"/>
      <c r="DJ186" s="410"/>
      <c r="DK186" s="410"/>
      <c r="DL186" s="410"/>
      <c r="DM186" s="410"/>
      <c r="DN186" s="410"/>
    </row>
    <row r="187" spans="1:118" s="456" customFormat="1" ht="17.25" customHeight="1" x14ac:dyDescent="0.2">
      <c r="A187" s="1918" t="s">
        <v>872</v>
      </c>
      <c r="B187" s="1919"/>
      <c r="C187" s="1919"/>
      <c r="D187" s="1919"/>
      <c r="E187" s="1919"/>
      <c r="F187" s="1919"/>
      <c r="G187" s="1919"/>
      <c r="H187" s="1971">
        <f>+H186*(100+H179)/100</f>
        <v>0</v>
      </c>
      <c r="I187" s="1972"/>
      <c r="J187" s="1973"/>
      <c r="K187" s="27"/>
      <c r="L187" s="27"/>
      <c r="M187" s="27"/>
      <c r="N187" s="22"/>
      <c r="O187" s="411"/>
      <c r="P187" s="585"/>
      <c r="Q187" s="585"/>
      <c r="R187" s="585"/>
      <c r="S187" s="585"/>
      <c r="T187" s="585"/>
      <c r="U187" s="585"/>
      <c r="V187" s="585"/>
      <c r="W187" s="585"/>
      <c r="X187" s="585"/>
      <c r="Y187" s="585"/>
      <c r="AD187" s="594"/>
      <c r="AE187" s="594"/>
      <c r="AF187" s="594"/>
      <c r="AG187" s="594"/>
      <c r="AH187" s="594"/>
      <c r="AI187" s="594"/>
      <c r="AJ187" s="594"/>
      <c r="AK187" s="594"/>
      <c r="AL187" s="594"/>
      <c r="AM187" s="594"/>
      <c r="AN187" s="594"/>
      <c r="AO187" s="594"/>
      <c r="AP187" s="594"/>
      <c r="AQ187" s="594"/>
      <c r="AR187" s="594"/>
      <c r="AS187" s="594"/>
      <c r="AT187" s="594"/>
      <c r="AU187" s="594"/>
      <c r="AV187" s="594"/>
      <c r="AW187" s="595"/>
      <c r="AX187" s="585"/>
      <c r="AY187" s="585"/>
      <c r="AZ187" s="585"/>
      <c r="BA187" s="585"/>
      <c r="BB187" s="585"/>
      <c r="BC187" s="585"/>
      <c r="BD187" s="585"/>
      <c r="BE187" s="585"/>
      <c r="BF187" s="585"/>
      <c r="BG187" s="585"/>
      <c r="BH187" s="585"/>
      <c r="BI187" s="585"/>
      <c r="BJ187" s="585"/>
      <c r="BK187" s="535"/>
      <c r="BL187" s="535"/>
      <c r="BM187" s="535"/>
      <c r="BN187" s="535"/>
      <c r="BO187" s="535"/>
      <c r="BP187" s="535"/>
      <c r="BQ187" s="535"/>
      <c r="BR187" s="535"/>
      <c r="BS187" s="535"/>
      <c r="BT187" s="535"/>
      <c r="BU187" s="535"/>
      <c r="BV187" s="535"/>
      <c r="BW187" s="535"/>
      <c r="BX187" s="535"/>
      <c r="BY187" s="535"/>
      <c r="BZ187" s="535"/>
      <c r="CA187" s="535"/>
      <c r="CB187" s="535"/>
      <c r="CC187" s="535"/>
      <c r="CD187" s="535"/>
      <c r="CE187" s="535"/>
      <c r="CH187" s="581"/>
      <c r="CI187" s="564"/>
      <c r="CJ187" s="535"/>
      <c r="CK187" s="535"/>
      <c r="CL187" s="535"/>
      <c r="CM187" s="535"/>
      <c r="CN187" s="410"/>
      <c r="CO187" s="410"/>
      <c r="CP187" s="410"/>
      <c r="CQ187" s="410"/>
      <c r="CR187" s="410"/>
      <c r="CS187" s="410"/>
      <c r="CT187" s="410"/>
      <c r="CU187" s="410"/>
      <c r="CV187" s="410"/>
      <c r="CW187" s="410"/>
      <c r="CX187" s="410"/>
      <c r="CY187" s="410"/>
      <c r="CZ187" s="410"/>
      <c r="DA187" s="410"/>
      <c r="DB187" s="410"/>
      <c r="DC187" s="410"/>
      <c r="DD187" s="410"/>
      <c r="DE187" s="410"/>
      <c r="DF187" s="410"/>
      <c r="DG187" s="410"/>
      <c r="DH187" s="410"/>
      <c r="DI187" s="410"/>
      <c r="DJ187" s="410"/>
      <c r="DK187" s="410"/>
      <c r="DL187" s="410"/>
      <c r="DM187" s="410"/>
      <c r="DN187" s="410"/>
    </row>
    <row r="188" spans="1:118" s="456" customFormat="1" ht="17.25" customHeight="1" thickBot="1" x14ac:dyDescent="0.25">
      <c r="A188" s="1905" t="s">
        <v>873</v>
      </c>
      <c r="B188" s="1906"/>
      <c r="C188" s="1906"/>
      <c r="D188" s="1906"/>
      <c r="E188" s="1906"/>
      <c r="F188" s="1906"/>
      <c r="G188" s="1906"/>
      <c r="H188" s="1852">
        <f>IF(H175+S178=0,0,IF(S178=0,"Eingabe Substrate!",H180+((H175+H176)/9.97/(H177/100)/(S178/100))))</f>
        <v>0</v>
      </c>
      <c r="I188" s="1853"/>
      <c r="J188" s="1854"/>
      <c r="K188" s="27"/>
      <c r="L188" s="27"/>
      <c r="M188" s="27"/>
      <c r="N188" s="22"/>
      <c r="O188" s="411"/>
      <c r="P188" s="585"/>
      <c r="Q188" s="585"/>
      <c r="R188" s="585"/>
      <c r="S188" s="585"/>
      <c r="T188" s="585"/>
      <c r="U188" s="585"/>
      <c r="V188" s="585"/>
      <c r="W188" s="585"/>
      <c r="X188" s="585"/>
      <c r="Y188" s="585"/>
      <c r="AD188" s="594"/>
      <c r="AE188" s="594"/>
      <c r="AF188" s="594"/>
      <c r="AG188" s="594"/>
      <c r="AH188" s="594"/>
      <c r="AI188" s="594"/>
      <c r="AJ188" s="594"/>
      <c r="AK188" s="594"/>
      <c r="AL188" s="594"/>
      <c r="AM188" s="594"/>
      <c r="AN188" s="594"/>
      <c r="AO188" s="594"/>
      <c r="AP188" s="594"/>
      <c r="AQ188" s="594"/>
      <c r="AR188" s="594"/>
      <c r="AS188" s="594"/>
      <c r="AT188" s="594"/>
      <c r="AU188" s="594"/>
      <c r="AV188" s="594"/>
      <c r="AW188" s="595"/>
      <c r="AX188" s="585"/>
      <c r="AY188" s="585"/>
      <c r="AZ188" s="585"/>
      <c r="BA188" s="585"/>
      <c r="BB188" s="585"/>
      <c r="BC188" s="585"/>
      <c r="BD188" s="585"/>
      <c r="BE188" s="585"/>
      <c r="BF188" s="585"/>
      <c r="BG188" s="585"/>
      <c r="BH188" s="585"/>
      <c r="BI188" s="585"/>
      <c r="BJ188" s="585"/>
      <c r="BK188" s="535"/>
      <c r="BL188" s="535"/>
      <c r="BM188" s="535"/>
      <c r="BN188" s="535"/>
      <c r="BO188" s="535"/>
      <c r="BP188" s="535"/>
      <c r="BQ188" s="535"/>
      <c r="BR188" s="535"/>
      <c r="BS188" s="535"/>
      <c r="BT188" s="535"/>
      <c r="BU188" s="535"/>
      <c r="BV188" s="535"/>
      <c r="BW188" s="535"/>
      <c r="BX188" s="535"/>
      <c r="BY188" s="535"/>
      <c r="BZ188" s="535"/>
      <c r="CA188" s="535"/>
      <c r="CB188" s="535"/>
      <c r="CC188" s="535"/>
      <c r="CD188" s="535"/>
      <c r="CE188" s="535"/>
      <c r="CH188" s="581"/>
      <c r="CI188" s="564"/>
      <c r="CJ188" s="535"/>
      <c r="CK188" s="535"/>
      <c r="CL188" s="535"/>
      <c r="CM188" s="535"/>
      <c r="CN188" s="410"/>
      <c r="CO188" s="410"/>
      <c r="CP188" s="410"/>
      <c r="CQ188" s="410"/>
      <c r="CR188" s="410"/>
      <c r="CS188" s="410"/>
      <c r="CT188" s="410"/>
      <c r="CU188" s="410"/>
      <c r="CV188" s="410"/>
      <c r="CW188" s="410"/>
      <c r="CX188" s="410"/>
      <c r="CY188" s="410"/>
      <c r="CZ188" s="410"/>
      <c r="DA188" s="410"/>
      <c r="DB188" s="410"/>
      <c r="DC188" s="410"/>
      <c r="DD188" s="410"/>
      <c r="DE188" s="410"/>
      <c r="DF188" s="410"/>
      <c r="DG188" s="410"/>
      <c r="DH188" s="410"/>
      <c r="DI188" s="410"/>
      <c r="DJ188" s="410"/>
      <c r="DK188" s="410"/>
      <c r="DL188" s="410"/>
      <c r="DM188" s="410"/>
      <c r="DN188" s="410"/>
    </row>
    <row r="189" spans="1:118" s="456" customFormat="1" ht="17.25" customHeight="1" x14ac:dyDescent="0.2">
      <c r="A189" s="2253" t="s">
        <v>859</v>
      </c>
      <c r="B189" s="2254"/>
      <c r="C189" s="2254"/>
      <c r="D189" s="2254"/>
      <c r="E189" s="2254"/>
      <c r="F189" s="2254"/>
      <c r="G189" s="2254"/>
      <c r="H189" s="1892">
        <f>IF(H187=0,IF(H188=0,0,H188/H187*100),H188/H187*100)</f>
        <v>0</v>
      </c>
      <c r="I189" s="1893"/>
      <c r="J189" s="1894"/>
      <c r="K189" s="27"/>
      <c r="L189" s="27"/>
      <c r="M189" s="27"/>
      <c r="N189" s="22"/>
      <c r="O189" s="411"/>
      <c r="P189" s="585"/>
      <c r="Q189" s="585"/>
      <c r="R189" s="585"/>
      <c r="S189" s="585"/>
      <c r="T189" s="585"/>
      <c r="U189" s="585"/>
      <c r="V189" s="585"/>
      <c r="W189" s="585"/>
      <c r="X189" s="585"/>
      <c r="Y189" s="585"/>
      <c r="AD189" s="594"/>
      <c r="AE189" s="594"/>
      <c r="AF189" s="594"/>
      <c r="AG189" s="594"/>
      <c r="AH189" s="594"/>
      <c r="AI189" s="594"/>
      <c r="AJ189" s="594"/>
      <c r="AK189" s="594"/>
      <c r="AL189" s="594"/>
      <c r="AM189" s="594"/>
      <c r="AN189" s="594"/>
      <c r="AO189" s="594"/>
      <c r="AP189" s="594"/>
      <c r="AQ189" s="594"/>
      <c r="AR189" s="594"/>
      <c r="AS189" s="594"/>
      <c r="AT189" s="594"/>
      <c r="AU189" s="594"/>
      <c r="AV189" s="594"/>
      <c r="AW189" s="595"/>
      <c r="AX189" s="585"/>
      <c r="AY189" s="585"/>
      <c r="AZ189" s="585"/>
      <c r="BA189" s="585"/>
      <c r="BB189" s="585"/>
      <c r="BC189" s="585"/>
      <c r="BD189" s="585"/>
      <c r="BE189" s="585"/>
      <c r="BF189" s="585"/>
      <c r="BG189" s="585"/>
      <c r="BH189" s="585"/>
      <c r="BI189" s="585"/>
      <c r="BJ189" s="585"/>
      <c r="BK189" s="535"/>
      <c r="BL189" s="535"/>
      <c r="BM189" s="535"/>
      <c r="BN189" s="535"/>
      <c r="BO189" s="535"/>
      <c r="BP189" s="535"/>
      <c r="BQ189" s="535"/>
      <c r="BR189" s="535"/>
      <c r="BS189" s="535"/>
      <c r="BT189" s="535"/>
      <c r="BU189" s="535"/>
      <c r="BV189" s="535"/>
      <c r="BW189" s="535"/>
      <c r="BX189" s="535"/>
      <c r="BY189" s="535"/>
      <c r="BZ189" s="535"/>
      <c r="CA189" s="535"/>
      <c r="CB189" s="535"/>
      <c r="CC189" s="535"/>
      <c r="CD189" s="535"/>
      <c r="CE189" s="535"/>
      <c r="CH189" s="581"/>
      <c r="CI189" s="564"/>
      <c r="CJ189" s="535"/>
      <c r="CK189" s="535"/>
      <c r="CL189" s="535"/>
      <c r="CM189" s="535"/>
      <c r="CN189" s="410"/>
      <c r="CO189" s="410"/>
      <c r="CP189" s="410"/>
      <c r="CQ189" s="410"/>
      <c r="CR189" s="410"/>
      <c r="CS189" s="410"/>
      <c r="CT189" s="410"/>
      <c r="CU189" s="410"/>
      <c r="CV189" s="410"/>
      <c r="CW189" s="410"/>
      <c r="CX189" s="410"/>
      <c r="CY189" s="410"/>
      <c r="CZ189" s="410"/>
      <c r="DA189" s="410"/>
      <c r="DB189" s="410"/>
      <c r="DC189" s="410"/>
      <c r="DD189" s="410"/>
      <c r="DE189" s="410"/>
      <c r="DF189" s="410"/>
      <c r="DG189" s="410"/>
      <c r="DH189" s="410"/>
      <c r="DI189" s="410"/>
      <c r="DJ189" s="410"/>
      <c r="DK189" s="410"/>
      <c r="DL189" s="410"/>
      <c r="DM189" s="410"/>
      <c r="DN189" s="410"/>
    </row>
    <row r="190" spans="1:118" s="456" customFormat="1" ht="17.25" customHeight="1" thickBot="1" x14ac:dyDescent="0.25">
      <c r="A190" s="2240" t="s">
        <v>976</v>
      </c>
      <c r="B190" s="2241"/>
      <c r="C190" s="2241"/>
      <c r="D190" s="2241"/>
      <c r="E190" s="2241"/>
      <c r="F190" s="2241"/>
      <c r="G190" s="2241"/>
      <c r="H190" s="1862" t="str">
        <f>IF(H189=0," ",IF(H189&lt;90,"nein",IF(H189&gt;110,"nein","ja")))</f>
        <v xml:space="preserve"> </v>
      </c>
      <c r="I190" s="1863"/>
      <c r="J190" s="1864"/>
      <c r="K190" s="27"/>
      <c r="L190" s="27"/>
      <c r="M190" s="27"/>
      <c r="N190" s="22"/>
      <c r="O190" s="411"/>
      <c r="P190" s="585"/>
      <c r="Q190" s="585"/>
      <c r="R190" s="585"/>
      <c r="S190" s="585"/>
      <c r="T190" s="585"/>
      <c r="U190" s="585"/>
      <c r="V190" s="585"/>
      <c r="W190" s="585"/>
      <c r="X190" s="585"/>
      <c r="Y190" s="585"/>
      <c r="AD190" s="594"/>
      <c r="AE190" s="594"/>
      <c r="AF190" s="594"/>
      <c r="AG190" s="594"/>
      <c r="AH190" s="594"/>
      <c r="AI190" s="594"/>
      <c r="AJ190" s="594"/>
      <c r="AK190" s="594"/>
      <c r="AL190" s="594"/>
      <c r="AM190" s="594"/>
      <c r="AN190" s="594"/>
      <c r="AO190" s="594"/>
      <c r="AP190" s="594"/>
      <c r="AQ190" s="594"/>
      <c r="AR190" s="594"/>
      <c r="AS190" s="594"/>
      <c r="AT190" s="594"/>
      <c r="AU190" s="594"/>
      <c r="AV190" s="594"/>
      <c r="AW190" s="595"/>
      <c r="AX190" s="585"/>
      <c r="AY190" s="585"/>
      <c r="AZ190" s="585"/>
      <c r="BA190" s="585"/>
      <c r="BB190" s="585"/>
      <c r="BC190" s="585"/>
      <c r="BD190" s="585"/>
      <c r="BE190" s="585"/>
      <c r="BF190" s="585"/>
      <c r="BG190" s="585"/>
      <c r="BH190" s="585"/>
      <c r="BI190" s="585"/>
      <c r="BJ190" s="585"/>
      <c r="BK190" s="535"/>
      <c r="BL190" s="535"/>
      <c r="BM190" s="535"/>
      <c r="BN190" s="535"/>
      <c r="BO190" s="535"/>
      <c r="BP190" s="535"/>
      <c r="BQ190" s="535"/>
      <c r="BR190" s="535"/>
      <c r="BS190" s="535"/>
      <c r="BT190" s="535"/>
      <c r="BU190" s="535"/>
      <c r="BV190" s="535"/>
      <c r="BW190" s="535"/>
      <c r="BX190" s="535"/>
      <c r="BY190" s="535"/>
      <c r="BZ190" s="535"/>
      <c r="CA190" s="535"/>
      <c r="CB190" s="535"/>
      <c r="CC190" s="535"/>
      <c r="CD190" s="535"/>
      <c r="CE190" s="535"/>
      <c r="CH190" s="581"/>
      <c r="CI190" s="564"/>
      <c r="CJ190" s="535"/>
      <c r="CK190" s="535"/>
      <c r="CL190" s="535"/>
      <c r="CM190" s="535"/>
      <c r="CN190" s="410"/>
      <c r="CO190" s="410"/>
      <c r="CP190" s="410"/>
      <c r="CQ190" s="410"/>
      <c r="CR190" s="410"/>
      <c r="CS190" s="410"/>
      <c r="CT190" s="410"/>
      <c r="CU190" s="410"/>
      <c r="CV190" s="410"/>
      <c r="CW190" s="410"/>
      <c r="CX190" s="410"/>
      <c r="CY190" s="410"/>
      <c r="CZ190" s="410"/>
      <c r="DA190" s="410"/>
      <c r="DB190" s="410"/>
      <c r="DC190" s="410"/>
      <c r="DD190" s="410"/>
      <c r="DE190" s="410"/>
      <c r="DF190" s="410"/>
      <c r="DG190" s="410"/>
      <c r="DH190" s="410"/>
      <c r="DI190" s="410"/>
      <c r="DJ190" s="410"/>
      <c r="DK190" s="410"/>
      <c r="DL190" s="410"/>
      <c r="DM190" s="410"/>
      <c r="DN190" s="410"/>
    </row>
    <row r="191" spans="1:118" s="456" customFormat="1" ht="17.25" customHeight="1" x14ac:dyDescent="0.25">
      <c r="A191" s="1036"/>
      <c r="B191" s="1036"/>
      <c r="C191" s="1036"/>
      <c r="D191" s="1036"/>
      <c r="E191" s="1037"/>
      <c r="F191" s="1039"/>
      <c r="G191" s="1039"/>
      <c r="H191" s="27"/>
      <c r="I191" s="27"/>
      <c r="J191" s="27"/>
      <c r="K191" s="27"/>
      <c r="L191" s="27"/>
      <c r="M191" s="27"/>
      <c r="N191" s="22"/>
      <c r="O191" s="411"/>
      <c r="P191" s="585"/>
      <c r="Q191" s="585"/>
      <c r="R191" s="585"/>
      <c r="S191" s="585"/>
      <c r="T191" s="585"/>
      <c r="U191" s="585"/>
      <c r="V191" s="585"/>
      <c r="W191" s="585"/>
      <c r="X191" s="585"/>
      <c r="Y191" s="585"/>
      <c r="AD191" s="594"/>
      <c r="AE191" s="594"/>
      <c r="AF191" s="594"/>
      <c r="AG191" s="594"/>
      <c r="AH191" s="594"/>
      <c r="AI191" s="594"/>
      <c r="AJ191" s="594"/>
      <c r="AK191" s="594"/>
      <c r="AL191" s="594"/>
      <c r="AM191" s="594"/>
      <c r="AN191" s="594"/>
      <c r="AO191" s="594"/>
      <c r="AP191" s="594"/>
      <c r="AQ191" s="594"/>
      <c r="AR191" s="594"/>
      <c r="AS191" s="594"/>
      <c r="AT191" s="594"/>
      <c r="AU191" s="594"/>
      <c r="AV191" s="594"/>
      <c r="AW191" s="595"/>
      <c r="AX191" s="585"/>
      <c r="AY191" s="585"/>
      <c r="AZ191" s="585"/>
      <c r="BA191" s="585"/>
      <c r="BB191" s="585"/>
      <c r="BC191" s="585"/>
      <c r="BD191" s="585"/>
      <c r="BE191" s="585"/>
      <c r="BF191" s="585"/>
      <c r="BG191" s="585"/>
      <c r="BH191" s="585"/>
      <c r="BI191" s="585"/>
      <c r="BJ191" s="585"/>
      <c r="BK191" s="535"/>
      <c r="BL191" s="535"/>
      <c r="BM191" s="535"/>
      <c r="BN191" s="535"/>
      <c r="BO191" s="535"/>
      <c r="BP191" s="535"/>
      <c r="BQ191" s="535"/>
      <c r="BR191" s="535"/>
      <c r="BS191" s="535"/>
      <c r="BT191" s="535"/>
      <c r="BU191" s="535"/>
      <c r="BV191" s="535"/>
      <c r="BW191" s="535"/>
      <c r="BX191" s="535"/>
      <c r="BY191" s="535"/>
      <c r="BZ191" s="535"/>
      <c r="CA191" s="535"/>
      <c r="CB191" s="535"/>
      <c r="CC191" s="535"/>
      <c r="CD191" s="535"/>
      <c r="CE191" s="535"/>
      <c r="CH191" s="581"/>
      <c r="CI191" s="564"/>
      <c r="CJ191" s="535"/>
      <c r="CK191" s="535"/>
      <c r="CL191" s="535"/>
      <c r="CM191" s="535"/>
      <c r="CN191" s="410"/>
      <c r="CO191" s="410"/>
      <c r="CP191" s="410"/>
      <c r="CQ191" s="410"/>
      <c r="CR191" s="410"/>
      <c r="CS191" s="410"/>
      <c r="CT191" s="410"/>
      <c r="CU191" s="410"/>
      <c r="CV191" s="410"/>
      <c r="CW191" s="410"/>
      <c r="CX191" s="410"/>
      <c r="CY191" s="410"/>
      <c r="CZ191" s="410"/>
      <c r="DA191" s="410"/>
      <c r="DB191" s="410"/>
      <c r="DC191" s="410"/>
      <c r="DD191" s="410"/>
      <c r="DE191" s="410"/>
      <c r="DF191" s="410"/>
      <c r="DG191" s="410"/>
      <c r="DH191" s="410"/>
      <c r="DI191" s="410"/>
      <c r="DJ191" s="410"/>
      <c r="DK191" s="410"/>
      <c r="DL191" s="410"/>
      <c r="DM191" s="410"/>
      <c r="DN191" s="410"/>
    </row>
    <row r="192" spans="1:118" s="456" customFormat="1" ht="17.25" customHeight="1" x14ac:dyDescent="0.25">
      <c r="A192" s="1036"/>
      <c r="B192" s="1036"/>
      <c r="C192" s="1036"/>
      <c r="D192" s="1036"/>
      <c r="E192" s="1037"/>
      <c r="F192" s="1039"/>
      <c r="G192" s="1039"/>
      <c r="H192" s="27"/>
      <c r="I192" s="27"/>
      <c r="J192" s="27"/>
      <c r="K192" s="27"/>
      <c r="L192" s="27"/>
      <c r="M192" s="27"/>
      <c r="N192" s="22"/>
      <c r="O192" s="411"/>
      <c r="P192" s="1126"/>
      <c r="Q192" s="585"/>
      <c r="R192" s="585"/>
      <c r="S192" s="585"/>
      <c r="T192" s="585"/>
      <c r="U192" s="585"/>
      <c r="V192" s="585"/>
      <c r="W192" s="585"/>
      <c r="X192" s="585"/>
      <c r="Y192" s="585"/>
      <c r="AD192" s="594"/>
      <c r="AE192" s="594"/>
      <c r="AF192" s="594"/>
      <c r="AG192" s="594"/>
      <c r="AH192" s="594"/>
      <c r="AI192" s="594"/>
      <c r="AJ192" s="594"/>
      <c r="AK192" s="594"/>
      <c r="AL192" s="594"/>
      <c r="AM192" s="594"/>
      <c r="AN192" s="594"/>
      <c r="AO192" s="594"/>
      <c r="AP192" s="594"/>
      <c r="AQ192" s="594"/>
      <c r="AR192" s="594"/>
      <c r="AS192" s="594"/>
      <c r="AT192" s="594"/>
      <c r="AU192" s="594"/>
      <c r="AV192" s="594"/>
      <c r="AW192" s="595"/>
      <c r="AX192" s="585"/>
      <c r="AY192" s="585"/>
      <c r="AZ192" s="585"/>
      <c r="BA192" s="585"/>
      <c r="BB192" s="585"/>
      <c r="BC192" s="585"/>
      <c r="BD192" s="585"/>
      <c r="BE192" s="585"/>
      <c r="BF192" s="585"/>
      <c r="BG192" s="585"/>
      <c r="BH192" s="585"/>
      <c r="BI192" s="585"/>
      <c r="BJ192" s="585"/>
      <c r="BK192" s="535"/>
      <c r="BL192" s="535"/>
      <c r="BM192" s="535"/>
      <c r="BN192" s="535"/>
      <c r="BO192" s="535"/>
      <c r="BP192" s="535"/>
      <c r="BQ192" s="535"/>
      <c r="BR192" s="535"/>
      <c r="BS192" s="535"/>
      <c r="BT192" s="535"/>
      <c r="BU192" s="535"/>
      <c r="BV192" s="535"/>
      <c r="BW192" s="535"/>
      <c r="BX192" s="535"/>
      <c r="BY192" s="535"/>
      <c r="BZ192" s="535"/>
      <c r="CA192" s="535"/>
      <c r="CB192" s="535"/>
      <c r="CC192" s="535"/>
      <c r="CD192" s="535"/>
      <c r="CE192" s="535"/>
      <c r="CH192" s="581"/>
      <c r="CI192" s="564"/>
      <c r="CJ192" s="535"/>
      <c r="CK192" s="535"/>
      <c r="CL192" s="535"/>
      <c r="CM192" s="535"/>
      <c r="CN192" s="410"/>
      <c r="CO192" s="410"/>
      <c r="CP192" s="410"/>
      <c r="CQ192" s="410"/>
      <c r="CR192" s="410"/>
      <c r="CS192" s="410"/>
      <c r="CT192" s="410"/>
      <c r="CU192" s="410"/>
      <c r="CV192" s="410"/>
      <c r="CW192" s="410"/>
      <c r="CX192" s="410"/>
      <c r="CY192" s="410"/>
      <c r="CZ192" s="410"/>
      <c r="DA192" s="410"/>
      <c r="DB192" s="410"/>
      <c r="DC192" s="410"/>
      <c r="DD192" s="410"/>
      <c r="DE192" s="410"/>
      <c r="DF192" s="410"/>
      <c r="DG192" s="410"/>
      <c r="DH192" s="410"/>
      <c r="DI192" s="410"/>
      <c r="DJ192" s="410"/>
      <c r="DK192" s="410"/>
      <c r="DL192" s="410"/>
      <c r="DM192" s="410"/>
      <c r="DN192" s="410"/>
    </row>
    <row r="193" spans="1:118" s="456" customFormat="1" ht="17.25" customHeight="1" x14ac:dyDescent="0.25">
      <c r="A193" s="1036"/>
      <c r="B193" s="1036"/>
      <c r="C193" s="1036"/>
      <c r="D193" s="1036"/>
      <c r="E193" s="1037"/>
      <c r="F193" s="1039"/>
      <c r="G193" s="1039"/>
      <c r="H193" s="27"/>
      <c r="I193" s="27"/>
      <c r="J193" s="27"/>
      <c r="K193" s="27"/>
      <c r="L193" s="27"/>
      <c r="M193" s="27"/>
      <c r="N193" s="22"/>
      <c r="O193" s="411"/>
      <c r="P193" s="585"/>
      <c r="Q193" s="585"/>
      <c r="R193" s="585"/>
      <c r="S193" s="585"/>
      <c r="T193" s="585"/>
      <c r="U193" s="585"/>
      <c r="V193" s="585"/>
      <c r="W193" s="585"/>
      <c r="X193" s="585"/>
      <c r="Y193" s="585"/>
      <c r="AD193" s="594"/>
      <c r="AE193" s="594"/>
      <c r="AF193" s="594"/>
      <c r="AG193" s="594"/>
      <c r="AH193" s="594"/>
      <c r="AI193" s="594"/>
      <c r="AJ193" s="594"/>
      <c r="AK193" s="594"/>
      <c r="AL193" s="594"/>
      <c r="AM193" s="594"/>
      <c r="AN193" s="594"/>
      <c r="AO193" s="594"/>
      <c r="AP193" s="594"/>
      <c r="AQ193" s="594"/>
      <c r="AR193" s="594"/>
      <c r="AS193" s="594"/>
      <c r="AT193" s="594"/>
      <c r="AU193" s="594"/>
      <c r="AV193" s="594"/>
      <c r="AW193" s="595"/>
      <c r="AX193" s="585"/>
      <c r="AY193" s="585"/>
      <c r="AZ193" s="585"/>
      <c r="BA193" s="585"/>
      <c r="BB193" s="585"/>
      <c r="BC193" s="585"/>
      <c r="BD193" s="585"/>
      <c r="BE193" s="585"/>
      <c r="BF193" s="585"/>
      <c r="BG193" s="585"/>
      <c r="BH193" s="585"/>
      <c r="BI193" s="585"/>
      <c r="BJ193" s="585"/>
      <c r="BK193" s="535"/>
      <c r="BL193" s="535"/>
      <c r="BM193" s="535"/>
      <c r="BN193" s="535"/>
      <c r="BO193" s="535"/>
      <c r="BP193" s="535"/>
      <c r="BQ193" s="535"/>
      <c r="BR193" s="535"/>
      <c r="BS193" s="535"/>
      <c r="BT193" s="535"/>
      <c r="BU193" s="535"/>
      <c r="BV193" s="535"/>
      <c r="BW193" s="535"/>
      <c r="BX193" s="535"/>
      <c r="BY193" s="535"/>
      <c r="BZ193" s="535"/>
      <c r="CA193" s="535"/>
      <c r="CB193" s="535"/>
      <c r="CC193" s="535"/>
      <c r="CD193" s="535"/>
      <c r="CE193" s="535"/>
      <c r="CH193" s="581"/>
      <c r="CI193" s="564"/>
      <c r="CJ193" s="535"/>
      <c r="CK193" s="535"/>
      <c r="CL193" s="535"/>
      <c r="CM193" s="535"/>
      <c r="CN193" s="410"/>
      <c r="CO193" s="410"/>
      <c r="CP193" s="410"/>
      <c r="CQ193" s="410"/>
      <c r="CR193" s="410"/>
      <c r="CS193" s="410"/>
      <c r="CT193" s="410"/>
      <c r="CU193" s="410"/>
      <c r="CV193" s="410"/>
      <c r="CW193" s="410"/>
      <c r="CX193" s="410"/>
      <c r="CY193" s="410"/>
      <c r="CZ193" s="410"/>
      <c r="DA193" s="410"/>
      <c r="DB193" s="410"/>
      <c r="DC193" s="410"/>
      <c r="DD193" s="410"/>
      <c r="DE193" s="410"/>
      <c r="DF193" s="410"/>
      <c r="DG193" s="410"/>
      <c r="DH193" s="410"/>
      <c r="DI193" s="410"/>
      <c r="DJ193" s="410"/>
      <c r="DK193" s="410"/>
      <c r="DL193" s="410"/>
      <c r="DM193" s="410"/>
      <c r="DN193" s="410"/>
    </row>
    <row r="194" spans="1:118" s="412" customFormat="1" ht="17.25" customHeight="1" x14ac:dyDescent="0.2">
      <c r="A194" s="26"/>
      <c r="B194" s="26"/>
      <c r="C194" s="26"/>
      <c r="D194" s="26"/>
      <c r="E194" s="26"/>
      <c r="F194" s="26"/>
      <c r="G194" s="26"/>
      <c r="H194" s="26"/>
      <c r="I194" s="26"/>
      <c r="J194" s="26"/>
      <c r="K194" s="26"/>
      <c r="L194" s="26"/>
      <c r="M194" s="26"/>
      <c r="N194" s="22"/>
      <c r="O194" s="411"/>
      <c r="P194" s="585"/>
      <c r="Q194" s="585"/>
      <c r="R194" s="585"/>
      <c r="S194" s="585"/>
      <c r="T194" s="585"/>
      <c r="U194" s="585"/>
      <c r="V194" s="585"/>
      <c r="W194" s="585"/>
      <c r="X194" s="585"/>
      <c r="Y194" s="585"/>
      <c r="AD194" s="594"/>
      <c r="AE194" s="594"/>
      <c r="AF194" s="594"/>
      <c r="AG194" s="594"/>
      <c r="AH194" s="594"/>
      <c r="AI194" s="594"/>
      <c r="AJ194" s="594"/>
      <c r="AK194" s="594"/>
      <c r="AL194" s="594"/>
      <c r="AM194" s="594"/>
      <c r="AN194" s="594"/>
      <c r="AO194" s="594"/>
      <c r="AP194" s="594"/>
      <c r="AQ194" s="594"/>
      <c r="AR194" s="594"/>
      <c r="AS194" s="594"/>
      <c r="AT194" s="594"/>
      <c r="AU194" s="594"/>
      <c r="AV194" s="594"/>
      <c r="AW194" s="595"/>
      <c r="AX194" s="585"/>
      <c r="AY194" s="585"/>
      <c r="AZ194" s="585"/>
      <c r="BA194" s="585"/>
      <c r="BB194" s="585"/>
      <c r="BC194" s="585"/>
      <c r="BD194" s="585"/>
      <c r="BE194" s="585"/>
      <c r="BF194" s="585"/>
      <c r="BG194" s="585"/>
      <c r="BH194" s="585"/>
      <c r="BI194" s="585"/>
      <c r="BJ194" s="585"/>
      <c r="BK194" s="535"/>
      <c r="BL194" s="535"/>
      <c r="BM194" s="535"/>
      <c r="BN194" s="535"/>
      <c r="BO194" s="535"/>
      <c r="BP194" s="535"/>
      <c r="BQ194" s="535"/>
      <c r="BR194" s="535"/>
      <c r="BS194" s="535"/>
      <c r="BT194" s="535"/>
      <c r="BU194" s="535"/>
      <c r="BV194" s="535"/>
      <c r="BW194" s="535"/>
      <c r="BX194" s="535"/>
      <c r="BY194" s="535"/>
      <c r="BZ194" s="535"/>
      <c r="CA194" s="535"/>
      <c r="CB194" s="535"/>
      <c r="CC194" s="535"/>
      <c r="CD194" s="535"/>
      <c r="CE194" s="535"/>
      <c r="CH194" s="582"/>
      <c r="CI194" s="577"/>
      <c r="CJ194" s="535"/>
      <c r="CK194" s="535"/>
      <c r="CL194" s="535"/>
      <c r="CM194" s="535"/>
      <c r="CN194" s="410"/>
      <c r="CO194" s="410"/>
      <c r="CP194" s="410"/>
      <c r="CQ194" s="410"/>
      <c r="CR194" s="410"/>
      <c r="CS194" s="410"/>
      <c r="CT194" s="410"/>
      <c r="CU194" s="410"/>
      <c r="CV194" s="410"/>
      <c r="CW194" s="410"/>
      <c r="CX194" s="410"/>
      <c r="CY194" s="410"/>
      <c r="CZ194" s="410"/>
      <c r="DA194" s="410"/>
      <c r="DB194" s="410"/>
      <c r="DC194" s="410"/>
      <c r="DD194" s="410"/>
      <c r="DE194" s="410"/>
      <c r="DF194" s="410"/>
      <c r="DG194" s="410"/>
      <c r="DH194" s="410"/>
      <c r="DI194" s="410"/>
      <c r="DJ194" s="410"/>
      <c r="DK194" s="410"/>
      <c r="DL194" s="410"/>
      <c r="DM194" s="410"/>
      <c r="DN194" s="410"/>
    </row>
    <row r="195" spans="1:118" s="412" customFormat="1" ht="17.25" customHeight="1" x14ac:dyDescent="0.2">
      <c r="A195" s="26"/>
      <c r="B195" s="26"/>
      <c r="C195" s="26"/>
      <c r="D195" s="26"/>
      <c r="E195" s="26"/>
      <c r="F195" s="26"/>
      <c r="G195" s="26"/>
      <c r="H195" s="26"/>
      <c r="I195" s="26"/>
      <c r="J195" s="26"/>
      <c r="K195" s="26"/>
      <c r="L195" s="26"/>
      <c r="M195" s="26"/>
      <c r="N195" s="22"/>
      <c r="O195" s="411"/>
      <c r="P195" s="585"/>
      <c r="Q195" s="585"/>
      <c r="R195" s="585"/>
      <c r="S195" s="585"/>
      <c r="T195" s="585"/>
      <c r="U195" s="585"/>
      <c r="V195" s="585"/>
      <c r="W195" s="585"/>
      <c r="X195" s="585"/>
      <c r="Y195" s="585"/>
      <c r="AD195" s="594"/>
      <c r="AE195" s="594"/>
      <c r="AF195" s="594"/>
      <c r="AG195" s="594"/>
      <c r="AH195" s="594"/>
      <c r="AI195" s="594"/>
      <c r="AJ195" s="594"/>
      <c r="AK195" s="594"/>
      <c r="AL195" s="594"/>
      <c r="AM195" s="594"/>
      <c r="AN195" s="594"/>
      <c r="AO195" s="594"/>
      <c r="AP195" s="594"/>
      <c r="AQ195" s="594"/>
      <c r="AR195" s="594"/>
      <c r="AS195" s="594"/>
      <c r="AT195" s="594"/>
      <c r="AU195" s="594"/>
      <c r="AV195" s="594"/>
      <c r="AW195" s="595"/>
      <c r="AX195" s="585"/>
      <c r="AY195" s="585"/>
      <c r="AZ195" s="585"/>
      <c r="BA195" s="585"/>
      <c r="BB195" s="585"/>
      <c r="BC195" s="585"/>
      <c r="BD195" s="585"/>
      <c r="BE195" s="585"/>
      <c r="BF195" s="585"/>
      <c r="BG195" s="585"/>
      <c r="BH195" s="585"/>
      <c r="BI195" s="585"/>
      <c r="BJ195" s="585"/>
      <c r="BK195" s="535"/>
      <c r="BL195" s="535"/>
      <c r="BM195" s="535"/>
      <c r="BN195" s="535"/>
      <c r="BO195" s="535"/>
      <c r="BP195" s="535"/>
      <c r="BQ195" s="535"/>
      <c r="BR195" s="535"/>
      <c r="BS195" s="535"/>
      <c r="BT195" s="535"/>
      <c r="BU195" s="535"/>
      <c r="BV195" s="535"/>
      <c r="BW195" s="535"/>
      <c r="BX195" s="535"/>
      <c r="BY195" s="535"/>
      <c r="BZ195" s="535"/>
      <c r="CA195" s="535"/>
      <c r="CB195" s="535"/>
      <c r="CC195" s="535"/>
      <c r="CD195" s="535"/>
      <c r="CE195" s="535"/>
      <c r="CH195" s="582"/>
      <c r="CI195" s="577"/>
      <c r="CJ195" s="535"/>
      <c r="CK195" s="535"/>
      <c r="CL195" s="535"/>
      <c r="CM195" s="535"/>
      <c r="CN195" s="410"/>
      <c r="CO195" s="410"/>
      <c r="CP195" s="410"/>
      <c r="CQ195" s="410"/>
      <c r="CR195" s="410"/>
      <c r="CS195" s="410"/>
      <c r="CT195" s="410"/>
      <c r="CU195" s="410"/>
      <c r="CV195" s="410"/>
      <c r="CW195" s="410"/>
      <c r="CX195" s="410"/>
      <c r="CY195" s="410"/>
      <c r="CZ195" s="410"/>
      <c r="DA195" s="410"/>
      <c r="DB195" s="410"/>
      <c r="DC195" s="410"/>
      <c r="DD195" s="410"/>
      <c r="DE195" s="410"/>
      <c r="DF195" s="410"/>
      <c r="DG195" s="410"/>
      <c r="DH195" s="410"/>
      <c r="DI195" s="410"/>
      <c r="DJ195" s="410"/>
      <c r="DK195" s="410"/>
      <c r="DL195" s="410"/>
      <c r="DM195" s="410"/>
      <c r="DN195" s="410"/>
    </row>
    <row r="196" spans="1:118" s="412" customFormat="1" ht="17.25" customHeight="1" x14ac:dyDescent="0.2">
      <c r="A196" s="1108" t="s">
        <v>1063</v>
      </c>
      <c r="B196" s="689"/>
      <c r="C196" s="689"/>
      <c r="D196" s="689"/>
      <c r="E196" s="689"/>
      <c r="F196" s="689"/>
      <c r="G196" s="689"/>
      <c r="H196" s="689"/>
      <c r="I196" s="689"/>
      <c r="J196" s="689"/>
      <c r="K196" s="689"/>
      <c r="L196" s="689"/>
      <c r="M196" s="689"/>
      <c r="N196" s="22"/>
      <c r="O196" s="411"/>
      <c r="P196" s="585"/>
      <c r="Q196" s="585"/>
      <c r="R196" s="585"/>
      <c r="S196" s="585"/>
      <c r="T196" s="585"/>
      <c r="U196" s="585"/>
      <c r="V196" s="585"/>
      <c r="W196" s="585"/>
      <c r="X196" s="585"/>
      <c r="Y196" s="585"/>
      <c r="AD196" s="594"/>
      <c r="AE196" s="594"/>
      <c r="AF196" s="594"/>
      <c r="AG196" s="594"/>
      <c r="AH196" s="594"/>
      <c r="AI196" s="594"/>
      <c r="AJ196" s="594"/>
      <c r="AK196" s="594"/>
      <c r="AL196" s="594"/>
      <c r="AM196" s="594"/>
      <c r="AN196" s="594"/>
      <c r="AO196" s="594"/>
      <c r="AP196" s="594"/>
      <c r="AQ196" s="594"/>
      <c r="AR196" s="594"/>
      <c r="AS196" s="594"/>
      <c r="AT196" s="594"/>
      <c r="AU196" s="594"/>
      <c r="AV196" s="594"/>
      <c r="AW196" s="595"/>
      <c r="AX196" s="585"/>
      <c r="AY196" s="585"/>
      <c r="AZ196" s="585"/>
      <c r="BA196" s="585"/>
      <c r="BB196" s="585"/>
      <c r="BC196" s="585"/>
      <c r="BD196" s="585"/>
      <c r="BE196" s="585"/>
      <c r="BF196" s="585"/>
      <c r="BG196" s="585"/>
      <c r="BH196" s="585"/>
      <c r="BI196" s="585"/>
      <c r="BJ196" s="585"/>
      <c r="BK196" s="535"/>
      <c r="BL196" s="535"/>
      <c r="BM196" s="535"/>
      <c r="BN196" s="535"/>
      <c r="BO196" s="535"/>
      <c r="BP196" s="535"/>
      <c r="BQ196" s="535"/>
      <c r="BR196" s="535"/>
      <c r="BS196" s="535"/>
      <c r="BT196" s="535"/>
      <c r="BU196" s="535"/>
      <c r="BV196" s="535"/>
      <c r="BW196" s="535"/>
      <c r="BX196" s="535"/>
      <c r="BY196" s="535"/>
      <c r="BZ196" s="535"/>
      <c r="CA196" s="535"/>
      <c r="CB196" s="535"/>
      <c r="CC196" s="535"/>
      <c r="CD196" s="535"/>
      <c r="CE196" s="535"/>
      <c r="CH196" s="582"/>
      <c r="CI196" s="577"/>
      <c r="CJ196" s="535"/>
      <c r="CK196" s="535"/>
      <c r="CL196" s="535"/>
      <c r="CM196" s="535"/>
      <c r="CN196" s="410"/>
      <c r="CO196" s="410"/>
      <c r="CP196" s="410"/>
      <c r="CQ196" s="410"/>
      <c r="CR196" s="410"/>
      <c r="CS196" s="410"/>
      <c r="CT196" s="410"/>
      <c r="CU196" s="410"/>
      <c r="CV196" s="410"/>
      <c r="CW196" s="410"/>
      <c r="CX196" s="410"/>
      <c r="CY196" s="410"/>
      <c r="CZ196" s="410"/>
      <c r="DA196" s="410"/>
      <c r="DB196" s="410"/>
      <c r="DC196" s="410"/>
      <c r="DD196" s="410"/>
      <c r="DE196" s="410"/>
      <c r="DF196" s="410"/>
      <c r="DG196" s="410"/>
      <c r="DH196" s="410"/>
      <c r="DI196" s="410"/>
      <c r="DJ196" s="410"/>
      <c r="DK196" s="410"/>
      <c r="DL196" s="410"/>
      <c r="DM196" s="410"/>
      <c r="DN196" s="410"/>
    </row>
    <row r="197" spans="1:118" s="412" customFormat="1" ht="17.25" customHeight="1" x14ac:dyDescent="0.2">
      <c r="A197" s="1035" t="s">
        <v>1035</v>
      </c>
      <c r="B197" s="26"/>
      <c r="C197" s="26"/>
      <c r="D197" s="26"/>
      <c r="E197" s="26"/>
      <c r="F197" s="26"/>
      <c r="G197" s="26"/>
      <c r="H197" s="26"/>
      <c r="I197" s="26"/>
      <c r="J197" s="26"/>
      <c r="K197" s="26"/>
      <c r="L197" s="26"/>
      <c r="M197" s="26"/>
      <c r="N197" s="22"/>
      <c r="O197" s="411"/>
      <c r="P197" s="585"/>
      <c r="Q197" s="585"/>
      <c r="R197" s="585"/>
      <c r="S197" s="585"/>
      <c r="T197" s="585"/>
      <c r="U197" s="585"/>
      <c r="V197" s="585"/>
      <c r="W197" s="585"/>
      <c r="X197" s="585"/>
      <c r="Y197" s="585"/>
      <c r="AD197" s="594"/>
      <c r="AE197" s="594"/>
      <c r="AF197" s="594"/>
      <c r="AG197" s="594"/>
      <c r="AH197" s="594"/>
      <c r="AI197" s="594"/>
      <c r="AJ197" s="594"/>
      <c r="AK197" s="594"/>
      <c r="AL197" s="594"/>
      <c r="AM197" s="594"/>
      <c r="AN197" s="594"/>
      <c r="AO197" s="594"/>
      <c r="AP197" s="594"/>
      <c r="AQ197" s="594"/>
      <c r="AR197" s="594"/>
      <c r="AS197" s="594"/>
      <c r="AT197" s="594"/>
      <c r="AU197" s="594"/>
      <c r="AV197" s="594"/>
      <c r="AW197" s="595"/>
      <c r="AX197" s="585"/>
      <c r="AY197" s="585"/>
      <c r="AZ197" s="585"/>
      <c r="BA197" s="585"/>
      <c r="BB197" s="585"/>
      <c r="BC197" s="585"/>
      <c r="BD197" s="585"/>
      <c r="BE197" s="585"/>
      <c r="BF197" s="585"/>
      <c r="BG197" s="585"/>
      <c r="BH197" s="585"/>
      <c r="BI197" s="585"/>
      <c r="BJ197" s="585"/>
      <c r="BK197" s="535"/>
      <c r="BL197" s="535"/>
      <c r="BM197" s="535"/>
      <c r="BN197" s="535"/>
      <c r="BO197" s="535"/>
      <c r="BP197" s="535"/>
      <c r="BQ197" s="535"/>
      <c r="BR197" s="535"/>
      <c r="BS197" s="535"/>
      <c r="BT197" s="535"/>
      <c r="BU197" s="535"/>
      <c r="BV197" s="535"/>
      <c r="BW197" s="535"/>
      <c r="BX197" s="535"/>
      <c r="BY197" s="535"/>
      <c r="BZ197" s="535"/>
      <c r="CA197" s="535"/>
      <c r="CB197" s="535"/>
      <c r="CC197" s="535"/>
      <c r="CD197" s="535"/>
      <c r="CE197" s="535"/>
      <c r="CH197" s="582"/>
      <c r="CI197" s="577"/>
      <c r="CJ197" s="535"/>
      <c r="CK197" s="535"/>
      <c r="CL197" s="535"/>
      <c r="CM197" s="535"/>
      <c r="CN197" s="410"/>
      <c r="CO197" s="410"/>
      <c r="CP197" s="410"/>
      <c r="CQ197" s="410"/>
      <c r="CR197" s="410"/>
      <c r="CS197" s="410"/>
      <c r="CT197" s="410"/>
      <c r="CU197" s="410"/>
      <c r="CV197" s="410"/>
      <c r="CW197" s="410"/>
      <c r="CX197" s="410"/>
      <c r="CY197" s="410"/>
      <c r="CZ197" s="410"/>
      <c r="DA197" s="410"/>
      <c r="DB197" s="410"/>
      <c r="DC197" s="410"/>
      <c r="DD197" s="410"/>
      <c r="DE197" s="410"/>
      <c r="DF197" s="410"/>
      <c r="DG197" s="410"/>
      <c r="DH197" s="410"/>
      <c r="DI197" s="410"/>
      <c r="DJ197" s="410"/>
      <c r="DK197" s="410"/>
      <c r="DL197" s="410"/>
      <c r="DM197" s="410"/>
      <c r="DN197" s="410"/>
    </row>
    <row r="198" spans="1:118" s="412" customFormat="1" ht="17.25" customHeight="1" x14ac:dyDescent="0.2">
      <c r="A198" s="26"/>
      <c r="B198" s="26"/>
      <c r="C198" s="26"/>
      <c r="D198" s="26"/>
      <c r="E198" s="26"/>
      <c r="F198" s="26"/>
      <c r="G198" s="26"/>
      <c r="H198" s="26"/>
      <c r="I198" s="26"/>
      <c r="J198" s="26"/>
      <c r="K198" s="26"/>
      <c r="L198" s="26"/>
      <c r="M198" s="26"/>
      <c r="N198" s="22"/>
      <c r="O198" s="411"/>
      <c r="P198" s="585"/>
      <c r="Q198" s="585"/>
      <c r="R198" s="585"/>
      <c r="S198" s="585"/>
      <c r="T198" s="585"/>
      <c r="U198" s="585"/>
      <c r="V198" s="585"/>
      <c r="W198" s="585"/>
      <c r="X198" s="585"/>
      <c r="Y198" s="585"/>
      <c r="AD198" s="594"/>
      <c r="AE198" s="594"/>
      <c r="AF198" s="594"/>
      <c r="AG198" s="594"/>
      <c r="AH198" s="594"/>
      <c r="AI198" s="594"/>
      <c r="AJ198" s="594"/>
      <c r="AK198" s="594"/>
      <c r="AL198" s="594"/>
      <c r="AM198" s="594"/>
      <c r="AN198" s="594"/>
      <c r="AO198" s="594"/>
      <c r="AP198" s="594"/>
      <c r="AQ198" s="594"/>
      <c r="AR198" s="594"/>
      <c r="AS198" s="594"/>
      <c r="AT198" s="594"/>
      <c r="AU198" s="594"/>
      <c r="AV198" s="594"/>
      <c r="AW198" s="595"/>
      <c r="AX198" s="585"/>
      <c r="AY198" s="585"/>
      <c r="AZ198" s="585"/>
      <c r="BA198" s="585"/>
      <c r="BB198" s="585"/>
      <c r="BC198" s="585"/>
      <c r="BD198" s="585"/>
      <c r="BE198" s="585"/>
      <c r="BF198" s="585"/>
      <c r="BG198" s="585"/>
      <c r="BH198" s="585"/>
      <c r="BI198" s="585"/>
      <c r="BJ198" s="585"/>
      <c r="BK198" s="535"/>
      <c r="BL198" s="535"/>
      <c r="BM198" s="535"/>
      <c r="BN198" s="535"/>
      <c r="BO198" s="535"/>
      <c r="BP198" s="535"/>
      <c r="BQ198" s="535"/>
      <c r="BR198" s="535"/>
      <c r="BS198" s="535"/>
      <c r="BT198" s="535"/>
      <c r="BU198" s="535"/>
      <c r="BV198" s="535"/>
      <c r="BW198" s="535"/>
      <c r="BX198" s="535"/>
      <c r="BY198" s="535"/>
      <c r="BZ198" s="535"/>
      <c r="CA198" s="535"/>
      <c r="CB198" s="535"/>
      <c r="CC198" s="535"/>
      <c r="CD198" s="535"/>
      <c r="CE198" s="535"/>
      <c r="CH198" s="582"/>
      <c r="CI198" s="577"/>
      <c r="CJ198" s="535"/>
      <c r="CK198" s="535"/>
      <c r="CL198" s="535"/>
      <c r="CM198" s="535"/>
      <c r="CN198" s="410"/>
      <c r="CO198" s="410"/>
      <c r="CP198" s="410"/>
      <c r="CQ198" s="410"/>
      <c r="CR198" s="410"/>
      <c r="CS198" s="410"/>
      <c r="CT198" s="410"/>
      <c r="CU198" s="410"/>
      <c r="CV198" s="410"/>
      <c r="CW198" s="410"/>
      <c r="CX198" s="410"/>
      <c r="CY198" s="410"/>
      <c r="CZ198" s="410"/>
      <c r="DA198" s="410"/>
      <c r="DB198" s="410"/>
      <c r="DC198" s="410"/>
      <c r="DD198" s="410"/>
      <c r="DE198" s="410"/>
      <c r="DF198" s="410"/>
      <c r="DG198" s="410"/>
      <c r="DH198" s="410"/>
      <c r="DI198" s="410"/>
      <c r="DJ198" s="410"/>
      <c r="DK198" s="410"/>
      <c r="DL198" s="410"/>
      <c r="DM198" s="410"/>
      <c r="DN198" s="410"/>
    </row>
    <row r="199" spans="1:118" s="412" customFormat="1" ht="102" customHeight="1" x14ac:dyDescent="0.2">
      <c r="A199" s="26"/>
      <c r="B199" s="26"/>
      <c r="C199" s="26"/>
      <c r="D199" s="26"/>
      <c r="E199" s="26"/>
      <c r="F199" s="26"/>
      <c r="G199" s="26"/>
      <c r="H199" s="26"/>
      <c r="I199" s="26"/>
      <c r="J199" s="26"/>
      <c r="K199" s="26"/>
      <c r="L199" s="26"/>
      <c r="M199" s="26"/>
      <c r="N199" s="22"/>
      <c r="O199" s="411"/>
      <c r="P199" s="585"/>
      <c r="Q199" s="585"/>
      <c r="R199" s="585"/>
      <c r="S199" s="585"/>
      <c r="T199" s="585"/>
      <c r="U199" s="585"/>
      <c r="V199" s="585"/>
      <c r="W199" s="585"/>
      <c r="X199" s="585"/>
      <c r="Y199" s="585"/>
      <c r="AD199" s="594"/>
      <c r="AE199" s="594"/>
      <c r="AF199" s="594"/>
      <c r="AG199" s="594"/>
      <c r="AH199" s="594"/>
      <c r="AI199" s="594"/>
      <c r="AJ199" s="594"/>
      <c r="AK199" s="594"/>
      <c r="AL199" s="594"/>
      <c r="AM199" s="594"/>
      <c r="AN199" s="594"/>
      <c r="AO199" s="594"/>
      <c r="AP199" s="594"/>
      <c r="AQ199" s="594"/>
      <c r="AR199" s="594"/>
      <c r="AS199" s="594"/>
      <c r="AT199" s="594"/>
      <c r="AU199" s="594"/>
      <c r="AV199" s="594"/>
      <c r="AW199" s="595"/>
      <c r="AX199" s="585"/>
      <c r="AY199" s="585"/>
      <c r="AZ199" s="585"/>
      <c r="BA199" s="585"/>
      <c r="BB199" s="585"/>
      <c r="BC199" s="585"/>
      <c r="BD199" s="585"/>
      <c r="BE199" s="585"/>
      <c r="BF199" s="585"/>
      <c r="BG199" s="585"/>
      <c r="BH199" s="585"/>
      <c r="BI199" s="585"/>
      <c r="BJ199" s="585"/>
      <c r="BK199" s="535"/>
      <c r="BL199" s="535"/>
      <c r="BM199" s="535"/>
      <c r="BN199" s="535"/>
      <c r="BO199" s="535"/>
      <c r="BP199" s="535"/>
      <c r="BQ199" s="535"/>
      <c r="BR199" s="535"/>
      <c r="BS199" s="535"/>
      <c r="BT199" s="535"/>
      <c r="BU199" s="535"/>
      <c r="BV199" s="535"/>
      <c r="BW199" s="535"/>
      <c r="BX199" s="535"/>
      <c r="BY199" s="535"/>
      <c r="BZ199" s="535"/>
      <c r="CA199" s="535"/>
      <c r="CB199" s="535"/>
      <c r="CC199" s="535"/>
      <c r="CD199" s="535"/>
      <c r="CE199" s="535"/>
      <c r="CH199" s="582"/>
      <c r="CI199" s="577"/>
      <c r="CJ199" s="535"/>
      <c r="CK199" s="535"/>
      <c r="CL199" s="535"/>
      <c r="CM199" s="535"/>
      <c r="CN199" s="410"/>
      <c r="CO199" s="410"/>
      <c r="CP199" s="410"/>
      <c r="CQ199" s="410"/>
      <c r="CR199" s="410"/>
      <c r="CS199" s="410"/>
      <c r="CT199" s="410"/>
      <c r="CU199" s="410"/>
      <c r="CV199" s="410"/>
      <c r="CW199" s="410"/>
      <c r="CX199" s="410"/>
      <c r="CY199" s="410"/>
      <c r="CZ199" s="410"/>
      <c r="DA199" s="410"/>
      <c r="DB199" s="410"/>
      <c r="DC199" s="410"/>
      <c r="DD199" s="410"/>
      <c r="DE199" s="410"/>
      <c r="DF199" s="410"/>
      <c r="DG199" s="410"/>
      <c r="DH199" s="410"/>
      <c r="DI199" s="410"/>
      <c r="DJ199" s="410"/>
      <c r="DK199" s="410"/>
      <c r="DL199" s="410"/>
      <c r="DM199" s="410"/>
      <c r="DN199" s="410"/>
    </row>
    <row r="200" spans="1:118" s="412" customFormat="1" ht="17.25" customHeight="1" x14ac:dyDescent="0.2">
      <c r="A200" s="1108" t="s">
        <v>522</v>
      </c>
      <c r="B200" s="689"/>
      <c r="C200" s="689"/>
      <c r="D200" s="689"/>
      <c r="E200" s="689"/>
      <c r="F200" s="689"/>
      <c r="G200" s="689"/>
      <c r="H200" s="689"/>
      <c r="I200" s="689"/>
      <c r="J200" s="689"/>
      <c r="K200" s="689"/>
      <c r="L200" s="689"/>
      <c r="M200" s="689"/>
      <c r="N200" s="22"/>
      <c r="O200" s="411"/>
      <c r="P200" s="585"/>
      <c r="Q200" s="585"/>
      <c r="R200" s="585"/>
      <c r="S200" s="585"/>
      <c r="T200" s="585"/>
      <c r="U200" s="585"/>
      <c r="V200" s="585"/>
      <c r="W200" s="585"/>
      <c r="X200" s="585"/>
      <c r="Y200" s="585"/>
      <c r="AD200" s="594"/>
      <c r="AE200" s="594"/>
      <c r="AF200" s="594"/>
      <c r="AG200" s="594"/>
      <c r="AH200" s="594"/>
      <c r="AI200" s="594"/>
      <c r="AJ200" s="594"/>
      <c r="AK200" s="594"/>
      <c r="AL200" s="594"/>
      <c r="AM200" s="594"/>
      <c r="AN200" s="594"/>
      <c r="AO200" s="594"/>
      <c r="AP200" s="594"/>
      <c r="AQ200" s="594"/>
      <c r="AR200" s="594"/>
      <c r="AS200" s="594"/>
      <c r="AT200" s="594"/>
      <c r="AU200" s="594"/>
      <c r="AV200" s="594"/>
      <c r="AW200" s="595"/>
      <c r="AX200" s="585"/>
      <c r="AY200" s="585"/>
      <c r="AZ200" s="585"/>
      <c r="BA200" s="585"/>
      <c r="BB200" s="585"/>
      <c r="BC200" s="585"/>
      <c r="BD200" s="585"/>
      <c r="BE200" s="585"/>
      <c r="BF200" s="585"/>
      <c r="BG200" s="585"/>
      <c r="BH200" s="585"/>
      <c r="BI200" s="585"/>
      <c r="BJ200" s="585"/>
      <c r="BK200" s="535"/>
      <c r="BL200" s="535"/>
      <c r="BM200" s="535"/>
      <c r="BN200" s="535"/>
      <c r="BO200" s="535"/>
      <c r="BP200" s="535"/>
      <c r="BQ200" s="535"/>
      <c r="BR200" s="535"/>
      <c r="BS200" s="535"/>
      <c r="BT200" s="535"/>
      <c r="BU200" s="535"/>
      <c r="BV200" s="535"/>
      <c r="BW200" s="535"/>
      <c r="BX200" s="535"/>
      <c r="BY200" s="535"/>
      <c r="BZ200" s="535"/>
      <c r="CA200" s="535"/>
      <c r="CB200" s="535"/>
      <c r="CC200" s="535"/>
      <c r="CD200" s="535"/>
      <c r="CE200" s="535"/>
      <c r="CH200" s="582"/>
      <c r="CI200" s="577"/>
      <c r="CJ200" s="535"/>
      <c r="CK200" s="535"/>
      <c r="CL200" s="535"/>
      <c r="CM200" s="535"/>
      <c r="CN200" s="410"/>
      <c r="CO200" s="410"/>
      <c r="CP200" s="410"/>
      <c r="CQ200" s="410"/>
      <c r="CR200" s="410"/>
      <c r="CS200" s="410"/>
      <c r="CT200" s="410"/>
      <c r="CU200" s="410"/>
      <c r="CV200" s="410"/>
      <c r="CW200" s="410"/>
      <c r="CX200" s="410"/>
      <c r="CY200" s="410"/>
      <c r="CZ200" s="410"/>
      <c r="DA200" s="410"/>
      <c r="DB200" s="410"/>
      <c r="DC200" s="410"/>
      <c r="DD200" s="410"/>
      <c r="DE200" s="410"/>
      <c r="DF200" s="410"/>
      <c r="DG200" s="410"/>
      <c r="DH200" s="410"/>
      <c r="DI200" s="410"/>
      <c r="DJ200" s="410"/>
      <c r="DK200" s="410"/>
      <c r="DL200" s="410"/>
      <c r="DM200" s="410"/>
      <c r="DN200" s="410"/>
    </row>
    <row r="201" spans="1:118" s="412" customFormat="1" ht="17.25" customHeight="1" thickBot="1" x14ac:dyDescent="0.25">
      <c r="A201" s="1154"/>
      <c r="B201" s="1154"/>
      <c r="C201" s="1154"/>
      <c r="D201" s="1154"/>
      <c r="E201" s="1154"/>
      <c r="F201" s="1154"/>
      <c r="G201" s="1154"/>
      <c r="H201" s="1154"/>
      <c r="I201" s="1154"/>
      <c r="J201" s="1154"/>
      <c r="K201" s="1154"/>
      <c r="L201" s="1154"/>
      <c r="M201" s="1154"/>
      <c r="N201" s="22"/>
      <c r="O201" s="411"/>
      <c r="P201" s="585"/>
      <c r="Q201" s="585"/>
      <c r="R201" s="585"/>
      <c r="S201" s="585"/>
      <c r="T201" s="585"/>
      <c r="U201" s="585"/>
      <c r="V201" s="585"/>
      <c r="W201" s="585"/>
      <c r="X201" s="585"/>
      <c r="Y201" s="585"/>
      <c r="AD201" s="594"/>
      <c r="AE201" s="594"/>
      <c r="AF201" s="594"/>
      <c r="AG201" s="594"/>
      <c r="AH201" s="594"/>
      <c r="AI201" s="594"/>
      <c r="AJ201" s="594"/>
      <c r="AK201" s="594"/>
      <c r="AL201" s="594"/>
      <c r="AM201" s="594"/>
      <c r="AN201" s="594"/>
      <c r="AO201" s="594"/>
      <c r="AP201" s="594"/>
      <c r="AQ201" s="594"/>
      <c r="AR201" s="594"/>
      <c r="AS201" s="594"/>
      <c r="AT201" s="594"/>
      <c r="AU201" s="594"/>
      <c r="AV201" s="594"/>
      <c r="AW201" s="595"/>
      <c r="AX201" s="585"/>
      <c r="AY201" s="585"/>
      <c r="AZ201" s="585"/>
      <c r="BA201" s="585"/>
      <c r="BB201" s="585"/>
      <c r="BC201" s="585"/>
      <c r="BD201" s="585"/>
      <c r="BE201" s="585"/>
      <c r="BF201" s="585"/>
      <c r="BG201" s="585"/>
      <c r="BH201" s="585"/>
      <c r="BI201" s="585"/>
      <c r="BJ201" s="585"/>
      <c r="BK201" s="535"/>
      <c r="BL201" s="535"/>
      <c r="BM201" s="535"/>
      <c r="BN201" s="535"/>
      <c r="BO201" s="535"/>
      <c r="BP201" s="535"/>
      <c r="BQ201" s="535"/>
      <c r="BR201" s="535"/>
      <c r="BS201" s="535"/>
      <c r="BT201" s="535"/>
      <c r="BU201" s="535"/>
      <c r="BV201" s="535"/>
      <c r="BW201" s="535"/>
      <c r="BX201" s="535"/>
      <c r="BY201" s="535"/>
      <c r="BZ201" s="535"/>
      <c r="CA201" s="535"/>
      <c r="CB201" s="535"/>
      <c r="CC201" s="535"/>
      <c r="CD201" s="535"/>
      <c r="CE201" s="535"/>
      <c r="CH201" s="582"/>
      <c r="CI201" s="577"/>
      <c r="CJ201" s="535"/>
      <c r="CK201" s="535"/>
      <c r="CL201" s="535"/>
      <c r="CM201" s="535"/>
      <c r="CN201" s="410"/>
      <c r="CO201" s="410"/>
      <c r="CP201" s="410"/>
      <c r="CQ201" s="410"/>
      <c r="CR201" s="410"/>
      <c r="CS201" s="410"/>
      <c r="CT201" s="410"/>
      <c r="CU201" s="410"/>
      <c r="CV201" s="410"/>
      <c r="CW201" s="410"/>
      <c r="CX201" s="410"/>
      <c r="CY201" s="410"/>
      <c r="CZ201" s="410"/>
      <c r="DA201" s="410"/>
      <c r="DB201" s="410"/>
      <c r="DC201" s="410"/>
      <c r="DD201" s="410"/>
      <c r="DE201" s="410"/>
      <c r="DF201" s="410"/>
      <c r="DG201" s="410"/>
      <c r="DH201" s="410"/>
      <c r="DI201" s="410"/>
      <c r="DJ201" s="410"/>
      <c r="DK201" s="410"/>
      <c r="DL201" s="410"/>
      <c r="DM201" s="410"/>
      <c r="DN201" s="410"/>
    </row>
    <row r="202" spans="1:118" s="412" customFormat="1" ht="17.25" customHeight="1" x14ac:dyDescent="0.2">
      <c r="A202" s="1493"/>
      <c r="B202" s="2261" t="s">
        <v>856</v>
      </c>
      <c r="C202" s="2261"/>
      <c r="D202" s="1495" t="s">
        <v>356</v>
      </c>
      <c r="E202" s="1497" t="s">
        <v>4</v>
      </c>
      <c r="F202" s="1498" t="s">
        <v>1058</v>
      </c>
      <c r="G202" s="1499" t="s">
        <v>274</v>
      </c>
      <c r="H202" s="1495" t="s">
        <v>275</v>
      </c>
      <c r="I202" s="26"/>
      <c r="J202" s="26"/>
      <c r="K202" s="26"/>
      <c r="L202" s="26"/>
      <c r="M202" s="26"/>
      <c r="N202" s="22"/>
      <c r="O202" s="411"/>
      <c r="P202" s="585"/>
      <c r="Q202" s="585"/>
      <c r="R202" s="585"/>
      <c r="S202" s="585"/>
      <c r="T202" s="585"/>
      <c r="U202" s="585"/>
      <c r="V202" s="585"/>
      <c r="W202" s="585"/>
      <c r="X202" s="585"/>
      <c r="Y202" s="585"/>
      <c r="AD202" s="594"/>
      <c r="AE202" s="594"/>
      <c r="AF202" s="594"/>
      <c r="AG202" s="594"/>
      <c r="AH202" s="594"/>
      <c r="AI202" s="594"/>
      <c r="AJ202" s="594"/>
      <c r="AK202" s="594"/>
      <c r="AL202" s="594"/>
      <c r="AM202" s="594"/>
      <c r="AN202" s="594"/>
      <c r="AO202" s="594"/>
      <c r="AP202" s="594"/>
      <c r="AQ202" s="594"/>
      <c r="AR202" s="594"/>
      <c r="AS202" s="594"/>
      <c r="AT202" s="594"/>
      <c r="AU202" s="594"/>
      <c r="AV202" s="594"/>
      <c r="AW202" s="595"/>
      <c r="AX202" s="585"/>
      <c r="AY202" s="585"/>
      <c r="AZ202" s="585"/>
      <c r="BA202" s="585"/>
      <c r="BB202" s="585"/>
      <c r="BC202" s="585"/>
      <c r="BD202" s="585"/>
      <c r="BE202" s="585"/>
      <c r="BF202" s="585"/>
      <c r="BG202" s="585"/>
      <c r="BH202" s="585"/>
      <c r="BI202" s="585"/>
      <c r="BJ202" s="585"/>
      <c r="BK202" s="535"/>
      <c r="BL202" s="535"/>
      <c r="BM202" s="535"/>
      <c r="BN202" s="535"/>
      <c r="BO202" s="535"/>
      <c r="BP202" s="535"/>
      <c r="BQ202" s="535"/>
      <c r="BR202" s="535"/>
      <c r="BS202" s="535"/>
      <c r="BT202" s="535"/>
      <c r="BU202" s="535"/>
      <c r="BV202" s="535"/>
      <c r="BW202" s="535"/>
      <c r="BX202" s="535"/>
      <c r="BY202" s="535"/>
      <c r="BZ202" s="535"/>
      <c r="CA202" s="535"/>
      <c r="CB202" s="535"/>
      <c r="CC202" s="535"/>
      <c r="CD202" s="535"/>
      <c r="CE202" s="535"/>
      <c r="CH202" s="582"/>
      <c r="CI202" s="577"/>
      <c r="CJ202" s="535"/>
      <c r="CK202" s="535"/>
      <c r="CL202" s="535"/>
      <c r="CM202" s="535"/>
      <c r="CN202" s="410"/>
      <c r="CO202" s="410"/>
      <c r="CP202" s="410"/>
      <c r="CQ202" s="410"/>
      <c r="CR202" s="410"/>
      <c r="CS202" s="410"/>
      <c r="CT202" s="410"/>
      <c r="CU202" s="410"/>
      <c r="CV202" s="410"/>
      <c r="CW202" s="410"/>
      <c r="CX202" s="410"/>
      <c r="CY202" s="410"/>
      <c r="CZ202" s="410"/>
      <c r="DA202" s="410"/>
      <c r="DB202" s="410"/>
      <c r="DC202" s="410"/>
      <c r="DD202" s="410"/>
      <c r="DE202" s="410"/>
      <c r="DF202" s="410"/>
      <c r="DG202" s="410"/>
      <c r="DH202" s="410"/>
      <c r="DI202" s="410"/>
      <c r="DJ202" s="410"/>
      <c r="DK202" s="410"/>
      <c r="DL202" s="410"/>
      <c r="DM202" s="410"/>
      <c r="DN202" s="410"/>
    </row>
    <row r="203" spans="1:118" s="412" customFormat="1" ht="17.25" customHeight="1" x14ac:dyDescent="0.2">
      <c r="A203" s="1494"/>
      <c r="B203" s="2171" t="s">
        <v>1</v>
      </c>
      <c r="C203" s="2171"/>
      <c r="D203" s="1496" t="s">
        <v>2</v>
      </c>
      <c r="E203" s="2245" t="s">
        <v>313</v>
      </c>
      <c r="F203" s="2246"/>
      <c r="G203" s="2246"/>
      <c r="H203" s="2247"/>
      <c r="I203" s="26"/>
      <c r="J203" s="26"/>
      <c r="K203" s="26"/>
      <c r="L203" s="26"/>
      <c r="M203" s="26"/>
      <c r="N203" s="22"/>
      <c r="O203" s="411"/>
      <c r="P203" s="585"/>
      <c r="Q203" s="585"/>
      <c r="R203" s="585"/>
      <c r="S203" s="585"/>
      <c r="T203" s="585"/>
      <c r="U203" s="585"/>
      <c r="V203" s="585"/>
      <c r="W203" s="585"/>
      <c r="X203" s="585"/>
      <c r="Y203" s="585"/>
      <c r="AD203" s="594"/>
      <c r="AE203" s="594"/>
      <c r="AF203" s="594"/>
      <c r="AG203" s="594"/>
      <c r="AH203" s="594"/>
      <c r="AI203" s="594"/>
      <c r="AJ203" s="594"/>
      <c r="AK203" s="594"/>
      <c r="AL203" s="594"/>
      <c r="AM203" s="594"/>
      <c r="AN203" s="594"/>
      <c r="AO203" s="594"/>
      <c r="AP203" s="594"/>
      <c r="AQ203" s="594"/>
      <c r="AR203" s="594"/>
      <c r="AS203" s="594"/>
      <c r="AT203" s="594"/>
      <c r="AU203" s="594"/>
      <c r="AV203" s="594"/>
      <c r="AW203" s="595"/>
      <c r="AX203" s="585"/>
      <c r="AY203" s="585"/>
      <c r="AZ203" s="585"/>
      <c r="BA203" s="585"/>
      <c r="BB203" s="585"/>
      <c r="BC203" s="585"/>
      <c r="BD203" s="585"/>
      <c r="BE203" s="585"/>
      <c r="BF203" s="585"/>
      <c r="BG203" s="585"/>
      <c r="BH203" s="585"/>
      <c r="BI203" s="585"/>
      <c r="BJ203" s="585"/>
      <c r="BK203" s="535"/>
      <c r="BL203" s="535"/>
      <c r="BM203" s="535"/>
      <c r="BN203" s="535"/>
      <c r="BO203" s="535"/>
      <c r="BP203" s="535"/>
      <c r="BQ203" s="535"/>
      <c r="BR203" s="535"/>
      <c r="BS203" s="535"/>
      <c r="BT203" s="535"/>
      <c r="BU203" s="535"/>
      <c r="BV203" s="535"/>
      <c r="BW203" s="535"/>
      <c r="BX203" s="535"/>
      <c r="BY203" s="535"/>
      <c r="BZ203" s="535"/>
      <c r="CA203" s="535"/>
      <c r="CB203" s="535"/>
      <c r="CC203" s="535"/>
      <c r="CD203" s="535"/>
      <c r="CE203" s="535"/>
      <c r="CH203" s="582"/>
      <c r="CI203" s="577"/>
      <c r="CJ203" s="535"/>
      <c r="CK203" s="535"/>
      <c r="CL203" s="535"/>
      <c r="CM203" s="535"/>
      <c r="CN203" s="410"/>
      <c r="CO203" s="410"/>
      <c r="CP203" s="410"/>
      <c r="CQ203" s="410"/>
      <c r="CR203" s="410"/>
      <c r="CS203" s="410"/>
      <c r="CT203" s="410"/>
      <c r="CU203" s="410"/>
      <c r="CV203" s="410"/>
      <c r="CW203" s="410"/>
      <c r="CX203" s="410"/>
      <c r="CY203" s="410"/>
      <c r="CZ203" s="410"/>
      <c r="DA203" s="410"/>
      <c r="DB203" s="410"/>
      <c r="DC203" s="410"/>
      <c r="DD203" s="410"/>
      <c r="DE203" s="410"/>
      <c r="DF203" s="410"/>
      <c r="DG203" s="410"/>
      <c r="DH203" s="410"/>
      <c r="DI203" s="410"/>
      <c r="DJ203" s="410"/>
      <c r="DK203" s="410"/>
      <c r="DL203" s="410"/>
      <c r="DM203" s="410"/>
      <c r="DN203" s="410"/>
    </row>
    <row r="204" spans="1:118" s="412" customFormat="1" ht="17.25" customHeight="1" thickBot="1" x14ac:dyDescent="0.25">
      <c r="A204" s="1491" t="s">
        <v>855</v>
      </c>
      <c r="B204" s="2172">
        <f>+F41</f>
        <v>0</v>
      </c>
      <c r="C204" s="2172"/>
      <c r="D204" s="1492">
        <f>IF($F$41=0,0,J41/$F$41*100)</f>
        <v>0</v>
      </c>
      <c r="E204" s="1500">
        <f>IF($F$41=0,0,G41/$F$41*1000)</f>
        <v>0</v>
      </c>
      <c r="F204" s="1501">
        <f>+E25</f>
        <v>0</v>
      </c>
      <c r="G204" s="1501">
        <f>IF($F$41=0,0,H41/$F$41*1000)</f>
        <v>0</v>
      </c>
      <c r="H204" s="1492">
        <f>IF($F$41=0,0,I41/$F$41*1000)</f>
        <v>0</v>
      </c>
      <c r="I204" s="26"/>
      <c r="J204" s="26"/>
      <c r="K204" s="26"/>
      <c r="L204" s="26"/>
      <c r="M204" s="26"/>
      <c r="N204" s="22"/>
      <c r="O204" s="411"/>
      <c r="P204" s="585"/>
      <c r="Q204" s="585"/>
      <c r="R204" s="585"/>
      <c r="S204" s="585"/>
      <c r="T204" s="585"/>
      <c r="U204" s="585"/>
      <c r="V204" s="585"/>
      <c r="W204" s="585"/>
      <c r="X204" s="585"/>
      <c r="Y204" s="585"/>
      <c r="AD204" s="594"/>
      <c r="AE204" s="594"/>
      <c r="AF204" s="594"/>
      <c r="AG204" s="594"/>
      <c r="AH204" s="594"/>
      <c r="AI204" s="594"/>
      <c r="AJ204" s="594"/>
      <c r="AK204" s="594"/>
      <c r="AL204" s="594"/>
      <c r="AM204" s="594"/>
      <c r="AN204" s="594"/>
      <c r="AO204" s="594"/>
      <c r="AP204" s="594"/>
      <c r="AQ204" s="594"/>
      <c r="AR204" s="594"/>
      <c r="AS204" s="594"/>
      <c r="AT204" s="594"/>
      <c r="AU204" s="594"/>
      <c r="AV204" s="594"/>
      <c r="AW204" s="595"/>
      <c r="AX204" s="585"/>
      <c r="AY204" s="585"/>
      <c r="AZ204" s="585"/>
      <c r="BA204" s="585"/>
      <c r="BB204" s="585"/>
      <c r="BC204" s="585"/>
      <c r="BD204" s="585"/>
      <c r="BE204" s="585"/>
      <c r="BF204" s="585"/>
      <c r="BG204" s="585"/>
      <c r="BH204" s="585"/>
      <c r="BI204" s="585"/>
      <c r="BJ204" s="585"/>
      <c r="BK204" s="535"/>
      <c r="BL204" s="535"/>
      <c r="BM204" s="535"/>
      <c r="BN204" s="535"/>
      <c r="BO204" s="535"/>
      <c r="BP204" s="535"/>
      <c r="BQ204" s="535"/>
      <c r="BR204" s="535"/>
      <c r="BS204" s="535"/>
      <c r="BT204" s="535"/>
      <c r="BU204" s="535"/>
      <c r="BV204" s="535"/>
      <c r="BW204" s="535"/>
      <c r="BX204" s="535"/>
      <c r="BY204" s="535"/>
      <c r="BZ204" s="535"/>
      <c r="CA204" s="535"/>
      <c r="CB204" s="535"/>
      <c r="CC204" s="535"/>
      <c r="CD204" s="535"/>
      <c r="CE204" s="535"/>
      <c r="CH204" s="582"/>
      <c r="CI204" s="577"/>
      <c r="CJ204" s="535"/>
      <c r="CK204" s="535"/>
      <c r="CL204" s="535"/>
      <c r="CM204" s="535"/>
      <c r="CN204" s="410"/>
      <c r="CO204" s="410"/>
      <c r="CP204" s="410"/>
      <c r="CQ204" s="410"/>
      <c r="CR204" s="410"/>
      <c r="CS204" s="410"/>
      <c r="CT204" s="410"/>
      <c r="CU204" s="410"/>
      <c r="CV204" s="410"/>
      <c r="CW204" s="410"/>
      <c r="CX204" s="410"/>
      <c r="CY204" s="410"/>
      <c r="CZ204" s="410"/>
      <c r="DA204" s="410"/>
      <c r="DB204" s="410"/>
      <c r="DC204" s="410"/>
      <c r="DD204" s="410"/>
      <c r="DE204" s="410"/>
      <c r="DF204" s="410"/>
      <c r="DG204" s="410"/>
      <c r="DH204" s="410"/>
      <c r="DI204" s="410"/>
      <c r="DJ204" s="410"/>
      <c r="DK204" s="410"/>
      <c r="DL204" s="410"/>
      <c r="DM204" s="410"/>
      <c r="DN204" s="410"/>
    </row>
    <row r="205" spans="1:118" s="412" customFormat="1" ht="17.25" customHeight="1" thickBot="1" x14ac:dyDescent="0.25">
      <c r="A205" s="26"/>
      <c r="B205" s="26"/>
      <c r="C205" s="26"/>
      <c r="D205" s="26"/>
      <c r="E205" s="1502">
        <f>IF(G34=0,0,(G35+BG156)/G34*100)</f>
        <v>0</v>
      </c>
      <c r="F205" s="1503"/>
      <c r="G205" s="1504">
        <f>IF(H34=0,0,(H35+BH156)/H34*100)</f>
        <v>0</v>
      </c>
      <c r="H205" s="1505"/>
      <c r="I205" s="2255" t="s">
        <v>1010</v>
      </c>
      <c r="J205" s="2256"/>
      <c r="K205" s="2256"/>
      <c r="L205" s="2257"/>
      <c r="M205" s="26"/>
      <c r="N205" s="22"/>
      <c r="O205" s="411"/>
      <c r="P205" s="585"/>
      <c r="Q205" s="585"/>
      <c r="R205" s="585"/>
      <c r="S205" s="585"/>
      <c r="T205" s="585"/>
      <c r="U205" s="585"/>
      <c r="V205" s="585"/>
      <c r="W205" s="585"/>
      <c r="X205" s="585"/>
      <c r="Y205" s="585"/>
      <c r="AD205" s="594"/>
      <c r="AE205" s="594"/>
      <c r="AF205" s="594"/>
      <c r="AG205" s="594"/>
      <c r="AH205" s="594"/>
      <c r="AI205" s="594"/>
      <c r="AJ205" s="594"/>
      <c r="AK205" s="594"/>
      <c r="AL205" s="594"/>
      <c r="AM205" s="594"/>
      <c r="AN205" s="594"/>
      <c r="AO205" s="594"/>
      <c r="AP205" s="594"/>
      <c r="AQ205" s="594"/>
      <c r="AR205" s="594"/>
      <c r="AS205" s="594"/>
      <c r="AT205" s="594"/>
      <c r="AU205" s="594"/>
      <c r="AV205" s="594"/>
      <c r="AW205" s="595"/>
      <c r="AX205" s="585"/>
      <c r="AY205" s="585"/>
      <c r="AZ205" s="585"/>
      <c r="BA205" s="585"/>
      <c r="BB205" s="585"/>
      <c r="BC205" s="585"/>
      <c r="BD205" s="585"/>
      <c r="BE205" s="585"/>
      <c r="BF205" s="585"/>
      <c r="BG205" s="585"/>
      <c r="BH205" s="585"/>
      <c r="BI205" s="585"/>
      <c r="BJ205" s="585"/>
      <c r="BK205" s="535"/>
      <c r="BL205" s="535"/>
      <c r="BM205" s="535"/>
      <c r="BN205" s="535"/>
      <c r="BO205" s="535"/>
      <c r="BP205" s="535"/>
      <c r="BQ205" s="535"/>
      <c r="BR205" s="535"/>
      <c r="BS205" s="535"/>
      <c r="BT205" s="535"/>
      <c r="BU205" s="535"/>
      <c r="BV205" s="535"/>
      <c r="BW205" s="535"/>
      <c r="BX205" s="535"/>
      <c r="BY205" s="535"/>
      <c r="BZ205" s="535"/>
      <c r="CA205" s="535"/>
      <c r="CB205" s="535"/>
      <c r="CC205" s="535"/>
      <c r="CD205" s="535"/>
      <c r="CE205" s="535"/>
      <c r="CH205" s="582"/>
      <c r="CI205" s="577"/>
      <c r="CJ205" s="535"/>
      <c r="CK205" s="535"/>
      <c r="CL205" s="535"/>
      <c r="CM205" s="535"/>
      <c r="CN205" s="410"/>
      <c r="CO205" s="410"/>
      <c r="CP205" s="410"/>
      <c r="CQ205" s="410"/>
      <c r="CR205" s="410"/>
      <c r="CS205" s="410"/>
      <c r="CT205" s="410"/>
      <c r="CU205" s="410"/>
      <c r="CV205" s="410"/>
      <c r="CW205" s="410"/>
      <c r="CX205" s="410"/>
      <c r="CY205" s="410"/>
      <c r="CZ205" s="410"/>
      <c r="DA205" s="410"/>
      <c r="DB205" s="410"/>
      <c r="DC205" s="410"/>
      <c r="DD205" s="410"/>
      <c r="DE205" s="410"/>
      <c r="DF205" s="410"/>
      <c r="DG205" s="410"/>
      <c r="DH205" s="410"/>
      <c r="DI205" s="410"/>
      <c r="DJ205" s="410"/>
      <c r="DK205" s="410"/>
      <c r="DL205" s="410"/>
      <c r="DM205" s="410"/>
      <c r="DN205" s="410"/>
    </row>
    <row r="206" spans="1:118" s="412" customFormat="1" ht="17.25" customHeight="1" x14ac:dyDescent="0.2">
      <c r="A206" s="26"/>
      <c r="C206" s="26"/>
      <c r="D206" s="26"/>
      <c r="E206" s="26"/>
      <c r="F206" s="26"/>
      <c r="G206" s="26"/>
      <c r="H206" s="26"/>
      <c r="I206" s="26"/>
      <c r="J206" s="26"/>
      <c r="K206" s="26"/>
      <c r="L206" s="26"/>
      <c r="M206" s="26"/>
      <c r="N206" s="22"/>
      <c r="O206" s="411"/>
      <c r="P206" s="585"/>
      <c r="Q206" s="585"/>
      <c r="R206" s="585"/>
      <c r="S206" s="585"/>
      <c r="T206" s="585"/>
      <c r="U206" s="585"/>
      <c r="V206" s="585"/>
      <c r="W206" s="585"/>
      <c r="X206" s="585"/>
      <c r="Y206" s="585"/>
      <c r="AD206" s="594"/>
      <c r="AE206" s="594"/>
      <c r="AF206" s="594"/>
      <c r="AG206" s="594"/>
      <c r="AH206" s="594"/>
      <c r="AI206" s="594"/>
      <c r="AJ206" s="594"/>
      <c r="AK206" s="594"/>
      <c r="AL206" s="594"/>
      <c r="AM206" s="594"/>
      <c r="AN206" s="594"/>
      <c r="AO206" s="594"/>
      <c r="AP206" s="594"/>
      <c r="AQ206" s="594"/>
      <c r="AR206" s="594"/>
      <c r="AS206" s="594"/>
      <c r="AT206" s="594"/>
      <c r="AU206" s="594"/>
      <c r="AV206" s="594"/>
      <c r="AW206" s="595"/>
      <c r="AX206" s="585"/>
      <c r="AY206" s="585"/>
      <c r="AZ206" s="585"/>
      <c r="BA206" s="585"/>
      <c r="BB206" s="585"/>
      <c r="BC206" s="585"/>
      <c r="BD206" s="585"/>
      <c r="BE206" s="585"/>
      <c r="BF206" s="585"/>
      <c r="BG206" s="585"/>
      <c r="BH206" s="585"/>
      <c r="BI206" s="585"/>
      <c r="BJ206" s="585"/>
      <c r="BK206" s="535"/>
      <c r="BL206" s="535"/>
      <c r="BM206" s="535"/>
      <c r="BN206" s="535"/>
      <c r="BO206" s="535"/>
      <c r="BP206" s="535"/>
      <c r="BQ206" s="535"/>
      <c r="BR206" s="535"/>
      <c r="BS206" s="535"/>
      <c r="BT206" s="535"/>
      <c r="BU206" s="535"/>
      <c r="BV206" s="535"/>
      <c r="BW206" s="535"/>
      <c r="BX206" s="535"/>
      <c r="BY206" s="535"/>
      <c r="BZ206" s="535"/>
      <c r="CA206" s="535"/>
      <c r="CB206" s="535"/>
      <c r="CC206" s="535"/>
      <c r="CD206" s="535"/>
      <c r="CE206" s="535"/>
      <c r="CH206" s="582"/>
      <c r="CI206" s="577"/>
      <c r="CJ206" s="535"/>
      <c r="CK206" s="535"/>
      <c r="CL206" s="535"/>
      <c r="CM206" s="535"/>
      <c r="CN206" s="410"/>
      <c r="CO206" s="410"/>
      <c r="CP206" s="410"/>
      <c r="CQ206" s="410"/>
      <c r="CR206" s="410"/>
      <c r="CS206" s="410"/>
      <c r="CT206" s="410"/>
      <c r="CU206" s="410"/>
      <c r="CV206" s="410"/>
      <c r="CW206" s="410"/>
      <c r="CX206" s="410"/>
      <c r="CY206" s="410"/>
      <c r="CZ206" s="410"/>
      <c r="DA206" s="410"/>
      <c r="DB206" s="410"/>
      <c r="DC206" s="410"/>
      <c r="DD206" s="410"/>
      <c r="DE206" s="410"/>
      <c r="DF206" s="410"/>
      <c r="DG206" s="410"/>
      <c r="DH206" s="410"/>
      <c r="DI206" s="410"/>
      <c r="DJ206" s="410"/>
      <c r="DK206" s="410"/>
      <c r="DL206" s="410"/>
      <c r="DM206" s="410"/>
      <c r="DN206" s="410"/>
    </row>
    <row r="207" spans="1:118" s="412" customFormat="1" ht="15.75" customHeight="1" x14ac:dyDescent="0.2">
      <c r="B207" s="26"/>
      <c r="H207" s="398"/>
      <c r="I207" s="398"/>
      <c r="J207" s="398"/>
      <c r="K207" s="398"/>
      <c r="L207" s="398"/>
      <c r="M207" s="398"/>
      <c r="N207" s="21"/>
      <c r="O207" s="410"/>
      <c r="P207" s="535"/>
      <c r="Q207" s="535"/>
      <c r="R207" s="535"/>
      <c r="S207" s="535"/>
      <c r="T207" s="535"/>
      <c r="U207" s="535"/>
      <c r="V207" s="535"/>
      <c r="W207" s="535"/>
      <c r="X207" s="535"/>
      <c r="Y207" s="535"/>
      <c r="Z207" s="535"/>
      <c r="AA207" s="535"/>
      <c r="AB207" s="535"/>
      <c r="AC207" s="535"/>
      <c r="AD207" s="535"/>
      <c r="AE207" s="535"/>
      <c r="AF207" s="535"/>
      <c r="AG207" s="535"/>
      <c r="AH207" s="535"/>
      <c r="AI207" s="535"/>
      <c r="AJ207" s="535"/>
      <c r="AK207" s="535"/>
      <c r="AL207" s="535"/>
      <c r="AM207" s="535"/>
      <c r="AN207" s="535"/>
      <c r="AO207" s="535"/>
      <c r="AP207" s="535"/>
      <c r="AQ207" s="535"/>
      <c r="AR207" s="535"/>
      <c r="AS207" s="535"/>
      <c r="AT207" s="535"/>
      <c r="AU207" s="535"/>
      <c r="AV207" s="535"/>
      <c r="AW207" s="535"/>
      <c r="AX207" s="535"/>
      <c r="AY207" s="535"/>
      <c r="AZ207" s="535"/>
      <c r="BA207" s="535"/>
      <c r="BB207" s="535"/>
      <c r="BC207" s="535"/>
      <c r="BD207" s="535"/>
      <c r="BE207" s="535"/>
      <c r="BF207" s="535"/>
      <c r="BG207" s="535"/>
      <c r="BH207" s="535"/>
      <c r="BI207" s="535"/>
      <c r="BJ207" s="535"/>
      <c r="BK207" s="535"/>
      <c r="BL207" s="535"/>
      <c r="BM207" s="535"/>
      <c r="BN207" s="535"/>
      <c r="BO207" s="535"/>
      <c r="BP207" s="535"/>
      <c r="BQ207" s="535"/>
      <c r="BR207" s="535"/>
      <c r="BS207" s="535"/>
      <c r="BT207" s="535"/>
      <c r="BU207" s="535"/>
      <c r="BV207" s="535"/>
      <c r="BW207" s="535"/>
      <c r="CH207" s="582"/>
      <c r="CI207" s="596"/>
      <c r="CJ207" s="410"/>
      <c r="CK207" s="410"/>
      <c r="CL207" s="410"/>
      <c r="CM207" s="410"/>
      <c r="CN207" s="410"/>
      <c r="CO207" s="410"/>
      <c r="CP207" s="410"/>
      <c r="CQ207" s="410"/>
      <c r="CR207" s="410"/>
      <c r="CS207" s="410"/>
      <c r="CT207" s="410"/>
      <c r="CU207" s="410"/>
      <c r="CV207" s="410"/>
      <c r="CW207" s="410"/>
      <c r="CX207" s="410"/>
      <c r="CY207" s="410"/>
      <c r="CZ207" s="410"/>
      <c r="DA207" s="410"/>
      <c r="DB207" s="410"/>
      <c r="DC207" s="410"/>
      <c r="DD207" s="410"/>
      <c r="DE207" s="410"/>
      <c r="DF207" s="410"/>
      <c r="DG207" s="410"/>
      <c r="DH207" s="410"/>
      <c r="DI207" s="410"/>
      <c r="DJ207" s="410"/>
    </row>
    <row r="208" spans="1:118" s="412" customFormat="1" ht="15.75" customHeight="1" x14ac:dyDescent="0.2">
      <c r="A208" s="1108" t="s">
        <v>1124</v>
      </c>
      <c r="B208" s="689"/>
      <c r="C208" s="689"/>
      <c r="D208" s="689"/>
      <c r="E208" s="689"/>
      <c r="F208" s="689"/>
      <c r="G208" s="689"/>
      <c r="H208" s="689"/>
      <c r="I208" s="689"/>
      <c r="J208" s="689"/>
      <c r="K208" s="689"/>
      <c r="L208" s="689"/>
      <c r="M208" s="689"/>
      <c r="N208" s="21"/>
      <c r="O208" s="410"/>
      <c r="P208" s="535"/>
      <c r="Q208" s="535"/>
      <c r="R208" s="535"/>
      <c r="S208" s="535"/>
      <c r="T208" s="535"/>
      <c r="U208" s="535"/>
      <c r="V208" s="535"/>
      <c r="W208" s="535"/>
      <c r="X208" s="535"/>
      <c r="Y208" s="535"/>
      <c r="Z208" s="535"/>
      <c r="AA208" s="535"/>
      <c r="AB208" s="535"/>
      <c r="AC208" s="535"/>
      <c r="AD208" s="535"/>
      <c r="AE208" s="535"/>
      <c r="AF208" s="535"/>
      <c r="AG208" s="535"/>
      <c r="AH208" s="535"/>
      <c r="AI208" s="535"/>
      <c r="AJ208" s="535"/>
      <c r="AK208" s="535"/>
      <c r="AL208" s="535"/>
      <c r="AM208" s="535"/>
      <c r="AN208" s="535"/>
      <c r="AO208" s="535"/>
      <c r="AP208" s="535"/>
      <c r="AQ208" s="535"/>
      <c r="AR208" s="535"/>
      <c r="AS208" s="535"/>
      <c r="AT208" s="535"/>
      <c r="AU208" s="535"/>
      <c r="AV208" s="535"/>
      <c r="AW208" s="535"/>
      <c r="AX208" s="535"/>
      <c r="AY208" s="535"/>
      <c r="AZ208" s="535"/>
      <c r="BA208" s="535"/>
      <c r="BB208" s="535"/>
      <c r="BC208" s="535"/>
      <c r="BD208" s="535"/>
      <c r="BE208" s="535"/>
      <c r="BF208" s="535"/>
      <c r="BG208" s="535"/>
      <c r="BH208" s="535"/>
      <c r="BI208" s="535"/>
      <c r="BJ208" s="535"/>
      <c r="BK208" s="535"/>
      <c r="BL208" s="535"/>
      <c r="BM208" s="535"/>
      <c r="BN208" s="535"/>
      <c r="BO208" s="535"/>
      <c r="BP208" s="535"/>
      <c r="BQ208" s="535"/>
      <c r="BR208" s="535"/>
      <c r="BS208" s="535"/>
      <c r="BT208" s="535"/>
      <c r="BU208" s="535"/>
      <c r="BV208" s="535"/>
      <c r="BW208" s="535"/>
      <c r="CH208" s="582"/>
      <c r="CI208" s="596"/>
      <c r="CJ208" s="410"/>
      <c r="CK208" s="410"/>
      <c r="CL208" s="410"/>
      <c r="CM208" s="410"/>
      <c r="CN208" s="410"/>
      <c r="CO208" s="410"/>
      <c r="CP208" s="410"/>
      <c r="CQ208" s="410"/>
      <c r="CR208" s="410"/>
      <c r="CS208" s="410"/>
      <c r="CT208" s="410"/>
      <c r="CU208" s="410"/>
      <c r="CV208" s="410"/>
      <c r="CW208" s="410"/>
      <c r="CX208" s="410"/>
      <c r="CY208" s="410"/>
      <c r="CZ208" s="410"/>
      <c r="DA208" s="410"/>
      <c r="DB208" s="410"/>
      <c r="DC208" s="410"/>
      <c r="DD208" s="410"/>
      <c r="DE208" s="410"/>
      <c r="DF208" s="410"/>
      <c r="DG208" s="410"/>
      <c r="DH208" s="410"/>
      <c r="DI208" s="410"/>
      <c r="DJ208" s="410"/>
    </row>
    <row r="209" spans="1:114" s="412" customFormat="1" ht="15.75" customHeight="1" x14ac:dyDescent="0.2">
      <c r="H209" s="1244"/>
      <c r="I209" s="399"/>
      <c r="J209" s="399"/>
      <c r="K209" s="399"/>
      <c r="L209" s="399"/>
      <c r="M209" s="399"/>
      <c r="N209" s="21"/>
      <c r="O209" s="410"/>
      <c r="P209" s="535"/>
      <c r="Q209" s="535"/>
      <c r="R209" s="535"/>
      <c r="S209" s="535"/>
      <c r="T209" s="535"/>
      <c r="U209" s="535"/>
      <c r="V209" s="535"/>
      <c r="W209" s="535"/>
      <c r="X209" s="535"/>
      <c r="Y209" s="535"/>
      <c r="Z209" s="535"/>
      <c r="AA209" s="535"/>
      <c r="AB209" s="535"/>
      <c r="AC209" s="535"/>
      <c r="AD209" s="535"/>
      <c r="AE209" s="535"/>
      <c r="AF209" s="535"/>
      <c r="AG209" s="535"/>
      <c r="AH209" s="535"/>
      <c r="AI209" s="535"/>
      <c r="AJ209" s="535"/>
      <c r="AK209" s="535"/>
      <c r="AL209" s="535"/>
      <c r="AM209" s="535"/>
      <c r="AN209" s="535"/>
      <c r="AO209" s="535"/>
      <c r="AP209" s="535"/>
      <c r="AQ209" s="535"/>
      <c r="AR209" s="535"/>
      <c r="AS209" s="535"/>
      <c r="AT209" s="535"/>
      <c r="AU209" s="535"/>
      <c r="AV209" s="535"/>
      <c r="AW209" s="535"/>
      <c r="AX209" s="535"/>
      <c r="AY209" s="535"/>
      <c r="AZ209" s="535"/>
      <c r="BA209" s="535"/>
      <c r="BB209" s="535"/>
      <c r="BC209" s="535"/>
      <c r="BD209" s="535"/>
      <c r="BE209" s="535"/>
      <c r="BF209" s="535"/>
      <c r="BG209" s="535"/>
      <c r="BH209" s="535"/>
      <c r="BI209" s="535"/>
      <c r="BJ209" s="535"/>
      <c r="BK209" s="535"/>
      <c r="BL209" s="535"/>
      <c r="BM209" s="535"/>
      <c r="BN209" s="535"/>
      <c r="BO209" s="535"/>
      <c r="BP209" s="535"/>
      <c r="BQ209" s="535"/>
      <c r="BR209" s="535"/>
      <c r="BS209" s="535"/>
      <c r="BT209" s="535"/>
      <c r="BU209" s="535"/>
      <c r="BV209" s="535"/>
      <c r="BW209" s="535"/>
      <c r="CH209" s="582"/>
      <c r="CI209" s="596"/>
      <c r="CJ209" s="410"/>
      <c r="CK209" s="410"/>
      <c r="CL209" s="410"/>
      <c r="CM209" s="410"/>
      <c r="CN209" s="410"/>
      <c r="CO209" s="410"/>
      <c r="CP209" s="410"/>
      <c r="CQ209" s="410"/>
      <c r="CR209" s="410"/>
      <c r="CS209" s="410"/>
      <c r="CT209" s="410"/>
      <c r="CU209" s="410"/>
      <c r="CV209" s="410"/>
      <c r="CW209" s="410"/>
      <c r="CX209" s="410"/>
      <c r="CY209" s="410"/>
      <c r="CZ209" s="410"/>
      <c r="DA209" s="410"/>
      <c r="DB209" s="410"/>
      <c r="DC209" s="410"/>
      <c r="DD209" s="410"/>
      <c r="DE209" s="410"/>
      <c r="DF209" s="410"/>
      <c r="DG209" s="410"/>
      <c r="DH209" s="410"/>
      <c r="DI209" s="410"/>
      <c r="DJ209" s="410"/>
    </row>
    <row r="210" spans="1:114" s="412" customFormat="1" ht="15.75" customHeight="1" x14ac:dyDescent="0.2">
      <c r="A210" s="393"/>
      <c r="B210" s="394"/>
      <c r="C210" s="394"/>
      <c r="D210" s="397"/>
      <c r="E210" s="391"/>
      <c r="F210" s="391"/>
      <c r="G210" s="391"/>
      <c r="H210" s="397"/>
      <c r="I210" s="397"/>
      <c r="J210" s="397"/>
      <c r="K210" s="397"/>
      <c r="L210" s="391"/>
      <c r="M210" s="391"/>
      <c r="N210" s="21"/>
      <c r="O210" s="410"/>
      <c r="P210" s="535"/>
      <c r="Q210" s="535"/>
      <c r="R210" s="535"/>
      <c r="S210" s="535"/>
      <c r="T210" s="535"/>
      <c r="U210" s="535"/>
      <c r="V210" s="535"/>
      <c r="W210" s="535"/>
      <c r="X210" s="535"/>
      <c r="Y210" s="535"/>
      <c r="Z210" s="535"/>
      <c r="AA210" s="535"/>
      <c r="AB210" s="535"/>
      <c r="AC210" s="535"/>
      <c r="AD210" s="535"/>
      <c r="AE210" s="535"/>
      <c r="AF210" s="535"/>
      <c r="AG210" s="535"/>
      <c r="AH210" s="535"/>
      <c r="AI210" s="535"/>
      <c r="AJ210" s="535"/>
      <c r="AK210" s="535"/>
      <c r="AL210" s="535"/>
      <c r="AM210" s="535"/>
      <c r="AN210" s="535"/>
      <c r="AO210" s="535"/>
      <c r="AP210" s="535"/>
      <c r="AQ210" s="535"/>
      <c r="AR210" s="535"/>
      <c r="AS210" s="535"/>
      <c r="AT210" s="535"/>
      <c r="AU210" s="535"/>
      <c r="AV210" s="535"/>
      <c r="AW210" s="535"/>
      <c r="AX210" s="535"/>
      <c r="AY210" s="535"/>
      <c r="AZ210" s="535"/>
      <c r="BA210" s="535"/>
      <c r="BB210" s="535"/>
      <c r="BC210" s="535"/>
      <c r="BD210" s="535"/>
      <c r="BE210" s="535"/>
      <c r="BF210" s="535"/>
      <c r="BG210" s="535"/>
      <c r="BH210" s="535"/>
      <c r="BI210" s="535"/>
      <c r="BJ210" s="535"/>
      <c r="BK210" s="535"/>
      <c r="BL210" s="535"/>
      <c r="BM210" s="535"/>
      <c r="BN210" s="535"/>
      <c r="BO210" s="535"/>
      <c r="BP210" s="535"/>
      <c r="BQ210" s="535"/>
      <c r="BR210" s="535"/>
      <c r="BS210" s="535"/>
      <c r="BT210" s="535"/>
      <c r="BU210" s="535"/>
      <c r="BV210" s="535"/>
      <c r="BW210" s="535"/>
      <c r="CH210" s="582"/>
      <c r="CI210" s="577"/>
      <c r="CJ210" s="410"/>
      <c r="CK210" s="410"/>
      <c r="CL210" s="410"/>
      <c r="CM210" s="410"/>
      <c r="CN210" s="410"/>
      <c r="CO210" s="410"/>
      <c r="CP210" s="410"/>
      <c r="CQ210" s="410"/>
      <c r="CR210" s="410"/>
      <c r="CS210" s="410"/>
      <c r="CT210" s="410"/>
      <c r="CU210" s="410"/>
      <c r="CV210" s="410"/>
      <c r="CW210" s="410"/>
      <c r="CX210" s="410"/>
      <c r="CY210" s="410"/>
      <c r="CZ210" s="410"/>
      <c r="DA210" s="410"/>
      <c r="DB210" s="410"/>
      <c r="DC210" s="410"/>
      <c r="DD210" s="410"/>
      <c r="DE210" s="410"/>
      <c r="DF210" s="410"/>
      <c r="DG210" s="410"/>
      <c r="DH210" s="410"/>
      <c r="DI210" s="410"/>
      <c r="DJ210" s="410"/>
    </row>
    <row r="211" spans="1:114" s="412" customFormat="1" ht="15.75" customHeight="1" x14ac:dyDescent="0.25">
      <c r="A211" s="390"/>
      <c r="B211" s="1245"/>
      <c r="C211" s="1245"/>
      <c r="D211" s="1245"/>
      <c r="E211" s="1245"/>
      <c r="F211" s="1245"/>
      <c r="G211" s="1245"/>
      <c r="H211" s="1245"/>
      <c r="I211" s="1245"/>
      <c r="J211" s="1245"/>
      <c r="K211" s="1245"/>
      <c r="L211" s="1245"/>
      <c r="M211" s="1245"/>
      <c r="N211" s="21"/>
      <c r="O211" s="410"/>
      <c r="P211" s="535"/>
      <c r="Q211" s="535"/>
      <c r="R211" s="535"/>
      <c r="S211" s="535"/>
      <c r="T211" s="535"/>
      <c r="U211" s="535"/>
      <c r="V211" s="535"/>
      <c r="W211" s="535"/>
      <c r="X211" s="535"/>
      <c r="Y211" s="535"/>
      <c r="Z211" s="535"/>
      <c r="AA211" s="535"/>
      <c r="AB211" s="535"/>
      <c r="AC211" s="535"/>
      <c r="AD211" s="535"/>
      <c r="AE211" s="535"/>
      <c r="AF211" s="535"/>
      <c r="AG211" s="535"/>
      <c r="AH211" s="535"/>
      <c r="AI211" s="535"/>
      <c r="AJ211" s="535"/>
      <c r="AK211" s="535"/>
      <c r="AL211" s="535"/>
      <c r="AM211" s="535"/>
      <c r="AN211" s="535"/>
      <c r="AO211" s="535"/>
      <c r="AP211" s="535"/>
      <c r="AQ211" s="535"/>
      <c r="AR211" s="535"/>
      <c r="AS211" s="535"/>
      <c r="AT211" s="535"/>
      <c r="AU211" s="535"/>
      <c r="AV211" s="535"/>
      <c r="AW211" s="535"/>
      <c r="AX211" s="535"/>
      <c r="AY211" s="535"/>
      <c r="AZ211" s="535"/>
      <c r="BA211" s="535"/>
      <c r="BB211" s="535"/>
      <c r="BC211" s="535"/>
      <c r="BD211" s="535"/>
      <c r="BE211" s="535"/>
      <c r="BF211" s="535"/>
      <c r="BG211" s="535"/>
      <c r="BH211" s="535"/>
      <c r="BI211" s="535"/>
      <c r="BJ211" s="535"/>
      <c r="BK211" s="535"/>
      <c r="BL211" s="535"/>
      <c r="BM211" s="535"/>
      <c r="BN211" s="535"/>
      <c r="BO211" s="535"/>
      <c r="BP211" s="535"/>
      <c r="BQ211" s="535"/>
      <c r="BR211" s="535"/>
      <c r="BS211" s="535"/>
      <c r="BT211" s="535"/>
      <c r="BU211" s="535"/>
      <c r="BV211" s="535"/>
      <c r="BW211" s="535"/>
      <c r="CH211" s="582"/>
      <c r="CI211" s="577"/>
      <c r="CJ211" s="410"/>
      <c r="CK211" s="410"/>
      <c r="CL211" s="410"/>
      <c r="CM211" s="410"/>
      <c r="CN211" s="410"/>
      <c r="CO211" s="410"/>
      <c r="CP211" s="410"/>
      <c r="CQ211" s="410"/>
      <c r="CR211" s="410"/>
      <c r="CS211" s="410"/>
      <c r="CT211" s="410"/>
      <c r="CU211" s="410"/>
      <c r="CV211" s="410"/>
      <c r="CW211" s="410"/>
      <c r="CX211" s="410"/>
      <c r="CY211" s="410"/>
      <c r="CZ211" s="410"/>
      <c r="DA211" s="410"/>
      <c r="DB211" s="410"/>
      <c r="DC211" s="410"/>
      <c r="DD211" s="410"/>
      <c r="DE211" s="410"/>
      <c r="DF211" s="410"/>
      <c r="DG211" s="410"/>
      <c r="DH211" s="410"/>
      <c r="DI211" s="410"/>
      <c r="DJ211" s="410"/>
    </row>
    <row r="212" spans="1:114" s="412" customFormat="1" ht="15.75" customHeight="1" thickBot="1" x14ac:dyDescent="0.25">
      <c r="A212" s="395"/>
      <c r="B212" s="4"/>
      <c r="C212" s="4"/>
      <c r="D212" s="4"/>
      <c r="E212" s="4"/>
      <c r="F212" s="4"/>
      <c r="G212" s="4"/>
      <c r="H212" s="4"/>
      <c r="I212" s="4"/>
      <c r="J212" s="4"/>
      <c r="K212" s="4"/>
      <c r="L212" s="4"/>
      <c r="M212" s="4"/>
      <c r="N212" s="21"/>
      <c r="O212" s="410"/>
      <c r="P212" s="535"/>
      <c r="Q212" s="535"/>
      <c r="R212" s="535"/>
      <c r="S212" s="535"/>
      <c r="T212" s="535"/>
      <c r="U212" s="535"/>
      <c r="V212" s="535"/>
      <c r="W212" s="535"/>
      <c r="X212" s="535"/>
      <c r="Y212" s="535"/>
      <c r="Z212" s="535"/>
      <c r="AA212" s="535"/>
      <c r="AB212" s="535"/>
      <c r="AC212" s="535"/>
      <c r="AD212" s="535"/>
      <c r="AE212" s="535"/>
      <c r="AF212" s="535"/>
      <c r="AG212" s="535"/>
      <c r="AH212" s="535"/>
      <c r="AI212" s="535"/>
      <c r="AJ212" s="535"/>
      <c r="AK212" s="535"/>
      <c r="AL212" s="535"/>
      <c r="AM212" s="535"/>
      <c r="AN212" s="535"/>
      <c r="AO212" s="535"/>
      <c r="AP212" s="535"/>
      <c r="AQ212" s="535"/>
      <c r="AR212" s="535"/>
      <c r="AS212" s="535"/>
      <c r="AT212" s="535"/>
      <c r="AU212" s="535"/>
      <c r="AV212" s="535"/>
      <c r="AW212" s="535"/>
      <c r="AX212" s="535"/>
      <c r="AY212" s="535"/>
      <c r="AZ212" s="535"/>
      <c r="BA212" s="535"/>
      <c r="BB212" s="535"/>
      <c r="BC212" s="535"/>
      <c r="BD212" s="535"/>
      <c r="BE212" s="535"/>
      <c r="BF212" s="535"/>
      <c r="BG212" s="535"/>
      <c r="BH212" s="535"/>
      <c r="BI212" s="535"/>
      <c r="BJ212" s="535"/>
      <c r="BK212" s="535"/>
      <c r="BL212" s="535"/>
      <c r="BM212" s="535"/>
      <c r="BN212" s="535"/>
      <c r="BO212" s="535"/>
      <c r="BP212" s="535"/>
      <c r="BQ212" s="535"/>
      <c r="BR212" s="535"/>
      <c r="BS212" s="535"/>
      <c r="BT212" s="535"/>
      <c r="BU212" s="535"/>
      <c r="BV212" s="535"/>
      <c r="BW212" s="535"/>
      <c r="CH212" s="582"/>
      <c r="CI212" s="577"/>
      <c r="CJ212" s="410"/>
      <c r="CK212" s="410"/>
      <c r="CL212" s="410"/>
      <c r="CM212" s="410"/>
      <c r="CN212" s="410"/>
      <c r="CO212" s="410"/>
      <c r="CP212" s="410"/>
      <c r="CQ212" s="410"/>
      <c r="CR212" s="410"/>
      <c r="CS212" s="410"/>
      <c r="CT212" s="410"/>
      <c r="CU212" s="410"/>
      <c r="CV212" s="410"/>
      <c r="CW212" s="410"/>
      <c r="CX212" s="410"/>
      <c r="CY212" s="410"/>
      <c r="CZ212" s="410"/>
      <c r="DA212" s="410"/>
      <c r="DB212" s="410"/>
      <c r="DC212" s="410"/>
      <c r="DD212" s="410"/>
      <c r="DE212" s="410"/>
      <c r="DF212" s="410"/>
      <c r="DG212" s="410"/>
      <c r="DH212" s="410"/>
      <c r="DI212" s="410"/>
      <c r="DJ212" s="410"/>
    </row>
    <row r="213" spans="1:114" s="412" customFormat="1" ht="15.75" customHeight="1" thickBot="1" x14ac:dyDescent="0.3">
      <c r="A213" s="4"/>
      <c r="B213" s="464"/>
      <c r="C213" s="464"/>
      <c r="D213" s="502">
        <f>100-E213</f>
        <v>100</v>
      </c>
      <c r="E213" s="497">
        <v>0</v>
      </c>
      <c r="F213" s="392" t="s">
        <v>388</v>
      </c>
      <c r="G213" s="464"/>
      <c r="H213" s="464"/>
      <c r="I213" s="464"/>
      <c r="J213" s="464"/>
      <c r="K213" s="464"/>
      <c r="L213" s="464"/>
      <c r="M213" s="464"/>
      <c r="N213" s="21"/>
      <c r="O213" s="410"/>
      <c r="P213" s="535"/>
      <c r="Q213" s="535"/>
      <c r="R213" s="535"/>
      <c r="S213" s="535"/>
      <c r="T213" s="535"/>
      <c r="U213" s="535"/>
      <c r="V213" s="535"/>
      <c r="W213" s="535"/>
      <c r="X213" s="535"/>
      <c r="Y213" s="535"/>
      <c r="Z213" s="535"/>
      <c r="AA213" s="535"/>
      <c r="AB213" s="535"/>
      <c r="AC213" s="535"/>
      <c r="AD213" s="535"/>
      <c r="AE213" s="535"/>
      <c r="AF213" s="535"/>
      <c r="AG213" s="535"/>
      <c r="AH213" s="535"/>
      <c r="AI213" s="535"/>
      <c r="AJ213" s="535"/>
      <c r="AK213" s="535"/>
      <c r="AL213" s="535"/>
      <c r="AM213" s="535"/>
      <c r="AN213" s="535"/>
      <c r="AO213" s="535"/>
      <c r="AP213" s="535"/>
      <c r="AQ213" s="535"/>
      <c r="AR213" s="535"/>
      <c r="AS213" s="535"/>
      <c r="AT213" s="535"/>
      <c r="AU213" s="535"/>
      <c r="AV213" s="535"/>
      <c r="AW213" s="535"/>
      <c r="AX213" s="535"/>
      <c r="AY213" s="535"/>
      <c r="AZ213" s="535"/>
      <c r="BA213" s="535"/>
      <c r="BB213" s="535"/>
      <c r="BC213" s="535"/>
      <c r="BD213" s="535"/>
      <c r="BE213" s="535"/>
      <c r="BF213" s="535"/>
      <c r="BG213" s="535"/>
      <c r="BH213" s="535"/>
      <c r="BI213" s="535"/>
      <c r="BJ213" s="535"/>
      <c r="BK213" s="535"/>
      <c r="BL213" s="535"/>
      <c r="BM213" s="535"/>
      <c r="BN213" s="535"/>
      <c r="BO213" s="535"/>
      <c r="BP213" s="535"/>
      <c r="BQ213" s="535"/>
      <c r="BR213" s="535"/>
      <c r="BS213" s="535"/>
      <c r="BT213" s="535"/>
      <c r="BU213" s="535"/>
      <c r="BV213" s="535"/>
      <c r="BW213" s="535"/>
      <c r="CH213" s="582"/>
      <c r="CI213" s="577"/>
      <c r="CJ213" s="410"/>
      <c r="CK213" s="410"/>
      <c r="CL213" s="410"/>
      <c r="CM213" s="410"/>
      <c r="CN213" s="410"/>
      <c r="CO213" s="410"/>
      <c r="CP213" s="410"/>
      <c r="CQ213" s="410"/>
      <c r="CR213" s="410"/>
      <c r="CS213" s="410"/>
      <c r="CT213" s="410"/>
      <c r="CU213" s="410"/>
      <c r="CV213" s="410"/>
      <c r="CW213" s="410"/>
      <c r="CX213" s="410"/>
      <c r="CY213" s="410"/>
      <c r="CZ213" s="410"/>
      <c r="DA213" s="410"/>
      <c r="DB213" s="410"/>
      <c r="DC213" s="410"/>
      <c r="DD213" s="410"/>
      <c r="DE213" s="410"/>
      <c r="DF213" s="410"/>
      <c r="DG213" s="410"/>
      <c r="DH213" s="410"/>
      <c r="DI213" s="410"/>
      <c r="DJ213" s="410"/>
    </row>
    <row r="214" spans="1:114" s="412" customFormat="1" ht="15.75" customHeight="1" x14ac:dyDescent="0.25">
      <c r="A214" s="395"/>
      <c r="B214" s="464"/>
      <c r="C214" s="464"/>
      <c r="D214" s="396"/>
      <c r="E214" s="391"/>
      <c r="F214" s="392"/>
      <c r="G214" s="464"/>
      <c r="H214" s="464"/>
      <c r="I214" s="464"/>
      <c r="J214" s="464"/>
      <c r="K214" s="464"/>
      <c r="L214" s="464"/>
      <c r="M214" s="464"/>
      <c r="N214" s="21"/>
      <c r="O214" s="410"/>
      <c r="P214" s="535"/>
      <c r="Q214" s="535"/>
      <c r="R214" s="535"/>
      <c r="S214" s="535"/>
      <c r="T214" s="535"/>
      <c r="U214" s="535"/>
      <c r="V214" s="535"/>
      <c r="W214" s="535"/>
      <c r="X214" s="535"/>
      <c r="Y214" s="535"/>
      <c r="Z214" s="535"/>
      <c r="AA214" s="535"/>
      <c r="AB214" s="535"/>
      <c r="AC214" s="535"/>
      <c r="AD214" s="535"/>
      <c r="AE214" s="535"/>
      <c r="AF214" s="535"/>
      <c r="AG214" s="535"/>
      <c r="AH214" s="535"/>
      <c r="AI214" s="535"/>
      <c r="AJ214" s="535"/>
      <c r="AK214" s="535"/>
      <c r="AL214" s="535"/>
      <c r="AM214" s="535"/>
      <c r="AN214" s="535"/>
      <c r="AO214" s="535"/>
      <c r="AP214" s="535"/>
      <c r="AQ214" s="535"/>
      <c r="AR214" s="535"/>
      <c r="AS214" s="535"/>
      <c r="AT214" s="535"/>
      <c r="AU214" s="535"/>
      <c r="AV214" s="535"/>
      <c r="AW214" s="535"/>
      <c r="AX214" s="535"/>
      <c r="AY214" s="535"/>
      <c r="AZ214" s="535"/>
      <c r="BA214" s="535"/>
      <c r="BB214" s="535"/>
      <c r="BC214" s="535"/>
      <c r="BD214" s="535"/>
      <c r="BE214" s="535"/>
      <c r="BF214" s="535"/>
      <c r="BG214" s="535"/>
      <c r="BH214" s="535"/>
      <c r="BI214" s="535"/>
      <c r="BJ214" s="535"/>
      <c r="BK214" s="535"/>
      <c r="BL214" s="535"/>
      <c r="BM214" s="535"/>
      <c r="BN214" s="535"/>
      <c r="BO214" s="535"/>
      <c r="BP214" s="535"/>
      <c r="BQ214" s="535"/>
      <c r="BR214" s="535"/>
      <c r="BS214" s="535"/>
      <c r="BT214" s="535"/>
      <c r="BU214" s="535"/>
      <c r="BV214" s="535"/>
      <c r="BW214" s="535"/>
      <c r="CH214" s="582"/>
      <c r="CI214" s="577"/>
      <c r="CJ214" s="410"/>
      <c r="CK214" s="410"/>
      <c r="CL214" s="410"/>
      <c r="CM214" s="410"/>
      <c r="CN214" s="410"/>
      <c r="CO214" s="410"/>
      <c r="CP214" s="410"/>
      <c r="CQ214" s="410"/>
      <c r="CR214" s="410"/>
      <c r="CS214" s="410"/>
      <c r="CT214" s="410"/>
      <c r="CU214" s="410"/>
      <c r="CV214" s="410"/>
      <c r="CW214" s="410"/>
      <c r="CX214" s="410"/>
      <c r="CY214" s="410"/>
      <c r="CZ214" s="410"/>
      <c r="DA214" s="410"/>
      <c r="DB214" s="410"/>
      <c r="DC214" s="410"/>
      <c r="DD214" s="410"/>
      <c r="DE214" s="410"/>
      <c r="DF214" s="410"/>
      <c r="DG214" s="410"/>
      <c r="DH214" s="410"/>
      <c r="DI214" s="410"/>
      <c r="DJ214" s="410"/>
    </row>
    <row r="215" spans="1:114" s="412" customFormat="1" ht="15.75" customHeight="1" x14ac:dyDescent="0.25">
      <c r="A215" s="395"/>
      <c r="B215" s="464"/>
      <c r="C215" s="464"/>
      <c r="D215" s="396"/>
      <c r="E215" s="391"/>
      <c r="F215" s="392"/>
      <c r="G215" s="464"/>
      <c r="H215" s="464"/>
      <c r="I215" s="464"/>
      <c r="J215" s="464"/>
      <c r="K215" s="464"/>
      <c r="L215" s="464"/>
      <c r="M215" s="464"/>
      <c r="N215" s="21"/>
      <c r="O215" s="410"/>
      <c r="P215" s="535"/>
      <c r="Q215" s="535"/>
      <c r="R215" s="535"/>
      <c r="S215" s="535"/>
      <c r="T215" s="535"/>
      <c r="U215" s="535"/>
      <c r="V215" s="535"/>
      <c r="W215" s="535"/>
      <c r="X215" s="535"/>
      <c r="Y215" s="535"/>
      <c r="Z215" s="535"/>
      <c r="AA215" s="535"/>
      <c r="AB215" s="535"/>
      <c r="AC215" s="535"/>
      <c r="AD215" s="535"/>
      <c r="AE215" s="535"/>
      <c r="AF215" s="535"/>
      <c r="AG215" s="535"/>
      <c r="AH215" s="535"/>
      <c r="AI215" s="535"/>
      <c r="AJ215" s="535"/>
      <c r="AK215" s="535"/>
      <c r="AL215" s="535"/>
      <c r="AM215" s="535"/>
      <c r="AN215" s="535"/>
      <c r="AO215" s="535"/>
      <c r="AP215" s="535"/>
      <c r="AQ215" s="535"/>
      <c r="AR215" s="535"/>
      <c r="AS215" s="535"/>
      <c r="AT215" s="535"/>
      <c r="AU215" s="535"/>
      <c r="AV215" s="535"/>
      <c r="AW215" s="535"/>
      <c r="AX215" s="535"/>
      <c r="AY215" s="535"/>
      <c r="AZ215" s="535"/>
      <c r="BA215" s="535"/>
      <c r="BB215" s="535"/>
      <c r="BC215" s="535"/>
      <c r="BD215" s="535"/>
      <c r="BE215" s="535"/>
      <c r="BF215" s="535"/>
      <c r="BG215" s="535"/>
      <c r="BH215" s="535"/>
      <c r="BI215" s="535"/>
      <c r="BJ215" s="535"/>
      <c r="BK215" s="535"/>
      <c r="BL215" s="535"/>
      <c r="BM215" s="535"/>
      <c r="BN215" s="535"/>
      <c r="BO215" s="535"/>
      <c r="BP215" s="535"/>
      <c r="BQ215" s="535"/>
      <c r="BR215" s="535"/>
      <c r="BS215" s="535"/>
      <c r="BT215" s="535"/>
      <c r="BU215" s="535"/>
      <c r="BV215" s="535"/>
      <c r="BW215" s="535"/>
      <c r="CH215" s="582"/>
      <c r="CI215" s="577"/>
      <c r="CJ215" s="410"/>
      <c r="CK215" s="410"/>
      <c r="CL215" s="410"/>
      <c r="CM215" s="410"/>
      <c r="CN215" s="410"/>
      <c r="CO215" s="410"/>
      <c r="CP215" s="410"/>
      <c r="CQ215" s="410"/>
      <c r="CR215" s="410"/>
      <c r="CS215" s="410"/>
      <c r="CT215" s="410"/>
      <c r="CU215" s="410"/>
      <c r="CV215" s="410"/>
      <c r="CW215" s="410"/>
      <c r="CX215" s="410"/>
      <c r="CY215" s="410"/>
      <c r="CZ215" s="410"/>
      <c r="DA215" s="410"/>
      <c r="DB215" s="410"/>
      <c r="DC215" s="410"/>
      <c r="DD215" s="410"/>
      <c r="DE215" s="410"/>
      <c r="DF215" s="410"/>
      <c r="DG215" s="410"/>
      <c r="DH215" s="410"/>
      <c r="DI215" s="410"/>
      <c r="DJ215" s="410"/>
    </row>
    <row r="216" spans="1:114" s="412" customFormat="1" ht="15.75" customHeight="1" x14ac:dyDescent="0.25">
      <c r="A216" s="395"/>
      <c r="B216" s="464"/>
      <c r="C216" s="464"/>
      <c r="D216" s="396"/>
      <c r="E216" s="391"/>
      <c r="F216" s="392"/>
      <c r="G216" s="464"/>
      <c r="H216" s="464"/>
      <c r="I216" s="464"/>
      <c r="J216" s="464"/>
      <c r="K216" s="464"/>
      <c r="L216" s="464"/>
      <c r="M216" s="464"/>
      <c r="N216" s="21"/>
      <c r="O216" s="410"/>
      <c r="P216" s="535"/>
      <c r="Q216" s="535"/>
      <c r="R216" s="535"/>
      <c r="S216" s="535"/>
      <c r="T216" s="535"/>
      <c r="U216" s="535"/>
      <c r="V216" s="535"/>
      <c r="W216" s="535"/>
      <c r="X216" s="535"/>
      <c r="Y216" s="535"/>
      <c r="Z216" s="535"/>
      <c r="AA216" s="535"/>
      <c r="AB216" s="535"/>
      <c r="AC216" s="535"/>
      <c r="AD216" s="535"/>
      <c r="AE216" s="535"/>
      <c r="AF216" s="535"/>
      <c r="AG216" s="535"/>
      <c r="AH216" s="535"/>
      <c r="AI216" s="535"/>
      <c r="AJ216" s="535"/>
      <c r="AK216" s="535"/>
      <c r="AL216" s="535"/>
      <c r="AM216" s="535"/>
      <c r="AN216" s="535"/>
      <c r="AO216" s="535"/>
      <c r="AP216" s="535"/>
      <c r="AQ216" s="535"/>
      <c r="AR216" s="535"/>
      <c r="AS216" s="535"/>
      <c r="AT216" s="535"/>
      <c r="AU216" s="535"/>
      <c r="AV216" s="535"/>
      <c r="AW216" s="535"/>
      <c r="AX216" s="535"/>
      <c r="AY216" s="535"/>
      <c r="AZ216" s="535"/>
      <c r="BA216" s="535"/>
      <c r="BB216" s="535"/>
      <c r="BC216" s="535"/>
      <c r="BD216" s="535"/>
      <c r="BE216" s="535"/>
      <c r="BF216" s="535"/>
      <c r="BG216" s="535"/>
      <c r="BH216" s="535"/>
      <c r="BI216" s="535"/>
      <c r="BJ216" s="535"/>
      <c r="BK216" s="535"/>
      <c r="BL216" s="535"/>
      <c r="BM216" s="535"/>
      <c r="BN216" s="535"/>
      <c r="BO216" s="535"/>
      <c r="BP216" s="535"/>
      <c r="BQ216" s="535"/>
      <c r="BR216" s="535"/>
      <c r="BS216" s="535"/>
      <c r="BT216" s="535"/>
      <c r="BU216" s="535"/>
      <c r="BV216" s="535"/>
      <c r="BW216" s="535"/>
      <c r="CH216" s="582"/>
      <c r="CI216" s="577"/>
      <c r="CJ216" s="410"/>
      <c r="CK216" s="410"/>
      <c r="CL216" s="410"/>
      <c r="CM216" s="410"/>
      <c r="CN216" s="410"/>
      <c r="CO216" s="410"/>
      <c r="CP216" s="410"/>
      <c r="CQ216" s="410"/>
      <c r="CR216" s="410"/>
      <c r="CS216" s="410"/>
      <c r="CT216" s="410"/>
      <c r="CU216" s="410"/>
      <c r="CV216" s="410"/>
      <c r="CW216" s="410"/>
      <c r="CX216" s="410"/>
      <c r="CY216" s="410"/>
      <c r="CZ216" s="410"/>
      <c r="DA216" s="410"/>
      <c r="DB216" s="410"/>
      <c r="DC216" s="410"/>
      <c r="DD216" s="410"/>
      <c r="DE216" s="410"/>
      <c r="DF216" s="410"/>
      <c r="DG216" s="410"/>
      <c r="DH216" s="410"/>
      <c r="DI216" s="410"/>
      <c r="DJ216" s="410"/>
    </row>
    <row r="217" spans="1:114" s="412" customFormat="1" ht="15.75" customHeight="1" x14ac:dyDescent="0.25">
      <c r="A217" s="395"/>
      <c r="B217" s="464"/>
      <c r="C217" s="464"/>
      <c r="D217" s="396"/>
      <c r="E217" s="391"/>
      <c r="F217" s="392"/>
      <c r="G217" s="464"/>
      <c r="H217" s="464"/>
      <c r="I217" s="464"/>
      <c r="J217" s="464"/>
      <c r="K217" s="464"/>
      <c r="L217" s="464"/>
      <c r="M217" s="464"/>
      <c r="N217" s="21"/>
      <c r="O217" s="410"/>
      <c r="P217" s="535"/>
      <c r="Q217" s="535"/>
      <c r="R217" s="535"/>
      <c r="S217" s="535"/>
      <c r="T217" s="535"/>
      <c r="U217" s="535"/>
      <c r="V217" s="535"/>
      <c r="W217" s="535"/>
      <c r="X217" s="535"/>
      <c r="Y217" s="535"/>
      <c r="Z217" s="535"/>
      <c r="AA217" s="535"/>
      <c r="AB217" s="535"/>
      <c r="AC217" s="535"/>
      <c r="AD217" s="535"/>
      <c r="AE217" s="535"/>
      <c r="AF217" s="535"/>
      <c r="AG217" s="535"/>
      <c r="AH217" s="535"/>
      <c r="AI217" s="535"/>
      <c r="AJ217" s="535"/>
      <c r="AK217" s="535"/>
      <c r="AL217" s="535"/>
      <c r="AM217" s="535"/>
      <c r="AN217" s="535"/>
      <c r="AO217" s="535"/>
      <c r="AP217" s="535"/>
      <c r="AQ217" s="535"/>
      <c r="AR217" s="535"/>
      <c r="AS217" s="535"/>
      <c r="AT217" s="535"/>
      <c r="AU217" s="535"/>
      <c r="AV217" s="535"/>
      <c r="AW217" s="535"/>
      <c r="AX217" s="535"/>
      <c r="AY217" s="535"/>
      <c r="AZ217" s="535"/>
      <c r="BA217" s="535"/>
      <c r="BB217" s="535"/>
      <c r="BC217" s="535"/>
      <c r="BD217" s="535"/>
      <c r="BE217" s="535"/>
      <c r="BF217" s="535"/>
      <c r="BG217" s="535"/>
      <c r="BH217" s="535"/>
      <c r="BI217" s="535"/>
      <c r="BJ217" s="535"/>
      <c r="BK217" s="535"/>
      <c r="BL217" s="535"/>
      <c r="BM217" s="535"/>
      <c r="BN217" s="535"/>
      <c r="BO217" s="535"/>
      <c r="BP217" s="535"/>
      <c r="BQ217" s="535"/>
      <c r="BR217" s="535"/>
      <c r="BS217" s="535"/>
      <c r="BT217" s="535"/>
      <c r="BU217" s="535"/>
      <c r="BV217" s="535"/>
      <c r="BW217" s="535"/>
      <c r="CH217" s="582"/>
      <c r="CI217" s="577"/>
      <c r="CJ217" s="410"/>
      <c r="CK217" s="410"/>
      <c r="CL217" s="410"/>
      <c r="CM217" s="410"/>
      <c r="CN217" s="410"/>
      <c r="CO217" s="410"/>
      <c r="CP217" s="410"/>
      <c r="CQ217" s="410"/>
      <c r="CR217" s="410"/>
      <c r="CS217" s="410"/>
      <c r="CT217" s="410"/>
      <c r="CU217" s="410"/>
      <c r="CV217" s="410"/>
      <c r="CW217" s="410"/>
      <c r="CX217" s="410"/>
      <c r="CY217" s="410"/>
      <c r="CZ217" s="410"/>
      <c r="DA217" s="410"/>
      <c r="DB217" s="410"/>
      <c r="DC217" s="410"/>
      <c r="DD217" s="410"/>
      <c r="DE217" s="410"/>
      <c r="DF217" s="410"/>
      <c r="DG217" s="410"/>
      <c r="DH217" s="410"/>
      <c r="DI217" s="410"/>
      <c r="DJ217" s="410"/>
    </row>
    <row r="218" spans="1:114" s="412" customFormat="1" ht="15.75" customHeight="1" x14ac:dyDescent="0.25">
      <c r="A218" s="395"/>
      <c r="B218" s="464"/>
      <c r="C218" s="464"/>
      <c r="D218" s="396"/>
      <c r="E218" s="391"/>
      <c r="F218" s="392"/>
      <c r="G218" s="464"/>
      <c r="H218" s="464"/>
      <c r="I218" s="464"/>
      <c r="J218" s="464"/>
      <c r="K218" s="464"/>
      <c r="L218" s="464"/>
      <c r="M218" s="464"/>
      <c r="N218" s="21"/>
      <c r="O218" s="410"/>
      <c r="P218" s="535"/>
      <c r="Q218" s="535"/>
      <c r="R218" s="535"/>
      <c r="S218" s="535"/>
      <c r="T218" s="535"/>
      <c r="U218" s="535"/>
      <c r="V218" s="535"/>
      <c r="W218" s="535"/>
      <c r="X218" s="535"/>
      <c r="Y218" s="535"/>
      <c r="Z218" s="535"/>
      <c r="AA218" s="535"/>
      <c r="AB218" s="535"/>
      <c r="AC218" s="535"/>
      <c r="AD218" s="535"/>
      <c r="AE218" s="535"/>
      <c r="AF218" s="535"/>
      <c r="AG218" s="535"/>
      <c r="AH218" s="535"/>
      <c r="AI218" s="535"/>
      <c r="AJ218" s="535"/>
      <c r="AK218" s="535"/>
      <c r="AL218" s="535"/>
      <c r="AM218" s="535"/>
      <c r="AN218" s="535"/>
      <c r="AO218" s="535"/>
      <c r="AP218" s="535"/>
      <c r="AQ218" s="535"/>
      <c r="AR218" s="535"/>
      <c r="AS218" s="535"/>
      <c r="AT218" s="535"/>
      <c r="AU218" s="535"/>
      <c r="AV218" s="535"/>
      <c r="AW218" s="535"/>
      <c r="AX218" s="535"/>
      <c r="AY218" s="535"/>
      <c r="AZ218" s="535"/>
      <c r="BA218" s="535"/>
      <c r="BB218" s="535"/>
      <c r="BC218" s="535"/>
      <c r="BD218" s="535"/>
      <c r="BE218" s="535"/>
      <c r="BF218" s="535"/>
      <c r="BG218" s="535"/>
      <c r="BH218" s="535"/>
      <c r="BI218" s="535"/>
      <c r="BJ218" s="535"/>
      <c r="BK218" s="535"/>
      <c r="BL218" s="535"/>
      <c r="BM218" s="535"/>
      <c r="BN218" s="535"/>
      <c r="BO218" s="535"/>
      <c r="BP218" s="535"/>
      <c r="BQ218" s="535"/>
      <c r="BR218" s="535"/>
      <c r="BS218" s="535"/>
      <c r="BT218" s="535"/>
      <c r="BU218" s="535"/>
      <c r="BV218" s="535"/>
      <c r="BW218" s="535"/>
      <c r="CH218" s="582"/>
      <c r="CI218" s="577"/>
      <c r="CJ218" s="410"/>
      <c r="CK218" s="410"/>
      <c r="CL218" s="410"/>
      <c r="CM218" s="410"/>
      <c r="CN218" s="410"/>
      <c r="CO218" s="410"/>
      <c r="CP218" s="410"/>
      <c r="CQ218" s="410"/>
      <c r="CR218" s="410"/>
      <c r="CS218" s="410"/>
      <c r="CT218" s="410"/>
      <c r="CU218" s="410"/>
      <c r="CV218" s="410"/>
      <c r="CW218" s="410"/>
      <c r="CX218" s="410"/>
      <c r="CY218" s="410"/>
      <c r="CZ218" s="410"/>
      <c r="DA218" s="410"/>
      <c r="DB218" s="410"/>
      <c r="DC218" s="410"/>
      <c r="DD218" s="410"/>
      <c r="DE218" s="410"/>
      <c r="DF218" s="410"/>
      <c r="DG218" s="410"/>
      <c r="DH218" s="410"/>
      <c r="DI218" s="410"/>
      <c r="DJ218" s="410"/>
    </row>
    <row r="219" spans="1:114" s="412" customFormat="1" ht="15.75" customHeight="1" x14ac:dyDescent="0.25">
      <c r="A219" s="395"/>
      <c r="B219" s="464"/>
      <c r="C219" s="464"/>
      <c r="D219" s="396"/>
      <c r="E219" s="391"/>
      <c r="F219" s="392"/>
      <c r="G219" s="464"/>
      <c r="H219" s="464"/>
      <c r="I219" s="464"/>
      <c r="J219" s="464"/>
      <c r="K219" s="464"/>
      <c r="L219" s="464"/>
      <c r="M219" s="464"/>
      <c r="N219" s="21"/>
      <c r="O219" s="410"/>
      <c r="P219" s="535"/>
      <c r="Q219" s="535"/>
      <c r="R219" s="535"/>
      <c r="S219" s="535"/>
      <c r="T219" s="535"/>
      <c r="U219" s="535"/>
      <c r="V219" s="535"/>
      <c r="W219" s="535"/>
      <c r="X219" s="535"/>
      <c r="Y219" s="535"/>
      <c r="Z219" s="535"/>
      <c r="AA219" s="535"/>
      <c r="AB219" s="535"/>
      <c r="AC219" s="535"/>
      <c r="AD219" s="535"/>
      <c r="AE219" s="535"/>
      <c r="AF219" s="535"/>
      <c r="AG219" s="535"/>
      <c r="AH219" s="535"/>
      <c r="AI219" s="535"/>
      <c r="AJ219" s="535"/>
      <c r="AK219" s="535"/>
      <c r="AL219" s="535"/>
      <c r="AM219" s="535"/>
      <c r="AN219" s="535"/>
      <c r="AO219" s="535"/>
      <c r="AP219" s="535"/>
      <c r="AQ219" s="535"/>
      <c r="AR219" s="535"/>
      <c r="AS219" s="535"/>
      <c r="AT219" s="535"/>
      <c r="AU219" s="535"/>
      <c r="AV219" s="535"/>
      <c r="AW219" s="535"/>
      <c r="AX219" s="535"/>
      <c r="AY219" s="535"/>
      <c r="AZ219" s="535"/>
      <c r="BA219" s="535"/>
      <c r="BB219" s="535"/>
      <c r="BC219" s="535"/>
      <c r="BD219" s="535"/>
      <c r="BE219" s="535"/>
      <c r="BF219" s="535"/>
      <c r="BG219" s="535"/>
      <c r="BH219" s="535"/>
      <c r="BI219" s="535"/>
      <c r="BJ219" s="535"/>
      <c r="BK219" s="535"/>
      <c r="BL219" s="535"/>
      <c r="BM219" s="535"/>
      <c r="BN219" s="535"/>
      <c r="BO219" s="535"/>
      <c r="BP219" s="535"/>
      <c r="BQ219" s="535"/>
      <c r="BR219" s="535"/>
      <c r="BS219" s="535"/>
      <c r="BT219" s="535"/>
      <c r="BU219" s="535"/>
      <c r="BV219" s="535"/>
      <c r="BW219" s="535"/>
      <c r="CH219" s="582"/>
      <c r="CI219" s="577"/>
      <c r="CJ219" s="410"/>
      <c r="CK219" s="410"/>
      <c r="CL219" s="410"/>
      <c r="CM219" s="410"/>
      <c r="CN219" s="410"/>
      <c r="CO219" s="410"/>
      <c r="CP219" s="410"/>
      <c r="CQ219" s="410"/>
      <c r="CR219" s="410"/>
      <c r="CS219" s="410"/>
      <c r="CT219" s="410"/>
      <c r="CU219" s="410"/>
      <c r="CV219" s="410"/>
      <c r="CW219" s="410"/>
      <c r="CX219" s="410"/>
      <c r="CY219" s="410"/>
      <c r="CZ219" s="410"/>
      <c r="DA219" s="410"/>
      <c r="DB219" s="410"/>
      <c r="DC219" s="410"/>
      <c r="DD219" s="410"/>
      <c r="DE219" s="410"/>
      <c r="DF219" s="410"/>
      <c r="DG219" s="410"/>
      <c r="DH219" s="410"/>
      <c r="DI219" s="410"/>
      <c r="DJ219" s="410"/>
    </row>
    <row r="220" spans="1:114" s="412" customFormat="1" ht="15.75" customHeight="1" x14ac:dyDescent="0.25">
      <c r="A220" s="395"/>
      <c r="B220" s="464"/>
      <c r="C220" s="464"/>
      <c r="D220" s="396"/>
      <c r="E220" s="391"/>
      <c r="F220" s="392"/>
      <c r="G220" s="464"/>
      <c r="H220" s="464"/>
      <c r="I220" s="464"/>
      <c r="J220" s="464"/>
      <c r="K220" s="464"/>
      <c r="L220" s="464"/>
      <c r="M220" s="464"/>
      <c r="N220" s="21"/>
      <c r="O220" s="410"/>
      <c r="P220" s="535"/>
      <c r="Q220" s="535"/>
      <c r="R220" s="535"/>
      <c r="S220" s="535"/>
      <c r="T220" s="535"/>
      <c r="U220" s="535"/>
      <c r="V220" s="535"/>
      <c r="W220" s="535"/>
      <c r="X220" s="535"/>
      <c r="Y220" s="535"/>
      <c r="Z220" s="535"/>
      <c r="AA220" s="535"/>
      <c r="AB220" s="535"/>
      <c r="AC220" s="535"/>
      <c r="AD220" s="535"/>
      <c r="AE220" s="535"/>
      <c r="AF220" s="535"/>
      <c r="AG220" s="535"/>
      <c r="AH220" s="535"/>
      <c r="AI220" s="535"/>
      <c r="AJ220" s="535"/>
      <c r="AK220" s="535"/>
      <c r="AL220" s="535"/>
      <c r="AM220" s="535"/>
      <c r="AN220" s="535"/>
      <c r="AO220" s="535"/>
      <c r="AP220" s="535"/>
      <c r="AQ220" s="535"/>
      <c r="AR220" s="535"/>
      <c r="AS220" s="535"/>
      <c r="AT220" s="535"/>
      <c r="AU220" s="535"/>
      <c r="AV220" s="535"/>
      <c r="AW220" s="535"/>
      <c r="AX220" s="535"/>
      <c r="AY220" s="535"/>
      <c r="AZ220" s="535"/>
      <c r="BA220" s="535"/>
      <c r="BB220" s="535"/>
      <c r="BC220" s="535"/>
      <c r="BD220" s="535"/>
      <c r="BE220" s="535"/>
      <c r="BF220" s="535"/>
      <c r="BG220" s="535"/>
      <c r="BH220" s="535"/>
      <c r="BI220" s="535"/>
      <c r="BJ220" s="535"/>
      <c r="BK220" s="535"/>
      <c r="BL220" s="535"/>
      <c r="BM220" s="535"/>
      <c r="BN220" s="535"/>
      <c r="BO220" s="535"/>
      <c r="BP220" s="535"/>
      <c r="BQ220" s="535"/>
      <c r="BR220" s="535"/>
      <c r="BS220" s="535"/>
      <c r="BT220" s="535"/>
      <c r="BU220" s="535"/>
      <c r="BV220" s="535"/>
      <c r="BW220" s="535"/>
      <c r="CH220" s="582"/>
      <c r="CI220" s="577"/>
      <c r="CJ220" s="410"/>
      <c r="CK220" s="410"/>
      <c r="CL220" s="410"/>
      <c r="CM220" s="410"/>
      <c r="CN220" s="410"/>
      <c r="CO220" s="410"/>
      <c r="CP220" s="410"/>
      <c r="CQ220" s="410"/>
      <c r="CR220" s="410"/>
      <c r="CS220" s="410"/>
      <c r="CT220" s="410"/>
      <c r="CU220" s="410"/>
      <c r="CV220" s="410"/>
      <c r="CW220" s="410"/>
      <c r="CX220" s="410"/>
      <c r="CY220" s="410"/>
      <c r="CZ220" s="410"/>
      <c r="DA220" s="410"/>
      <c r="DB220" s="410"/>
      <c r="DC220" s="410"/>
      <c r="DD220" s="410"/>
      <c r="DE220" s="410"/>
      <c r="DF220" s="410"/>
      <c r="DG220" s="410"/>
      <c r="DH220" s="410"/>
      <c r="DI220" s="410"/>
      <c r="DJ220" s="410"/>
    </row>
    <row r="221" spans="1:114" s="412" customFormat="1" ht="15.75" customHeight="1" x14ac:dyDescent="0.25">
      <c r="A221" s="393"/>
      <c r="B221" s="464"/>
      <c r="C221" s="464"/>
      <c r="D221" s="464"/>
      <c r="E221" s="464"/>
      <c r="F221" s="464"/>
      <c r="G221" s="464"/>
      <c r="H221" s="464"/>
      <c r="I221" s="464"/>
      <c r="J221" s="464"/>
      <c r="K221" s="464"/>
      <c r="L221" s="464"/>
      <c r="M221" s="464"/>
      <c r="N221" s="21"/>
      <c r="O221" s="410"/>
      <c r="P221" s="535"/>
      <c r="Q221" s="535"/>
      <c r="R221" s="535"/>
      <c r="S221" s="535"/>
      <c r="T221" s="535"/>
      <c r="U221" s="535"/>
      <c r="V221" s="535"/>
      <c r="W221" s="535"/>
      <c r="X221" s="535"/>
      <c r="Y221" s="535"/>
      <c r="Z221" s="535"/>
      <c r="AA221" s="535"/>
      <c r="AB221" s="535"/>
      <c r="AC221" s="535"/>
      <c r="AD221" s="535"/>
      <c r="AE221" s="535"/>
      <c r="AF221" s="535"/>
      <c r="AG221" s="535"/>
      <c r="AH221" s="535"/>
      <c r="AI221" s="535"/>
      <c r="AJ221" s="535"/>
      <c r="AK221" s="535"/>
      <c r="AL221" s="535"/>
      <c r="AM221" s="535"/>
      <c r="AN221" s="535"/>
      <c r="AO221" s="535"/>
      <c r="AP221" s="535"/>
      <c r="AQ221" s="535"/>
      <c r="AR221" s="535"/>
      <c r="AS221" s="535"/>
      <c r="AT221" s="535"/>
      <c r="AU221" s="535"/>
      <c r="AV221" s="535"/>
      <c r="AW221" s="535"/>
      <c r="AX221" s="535"/>
      <c r="AY221" s="535"/>
      <c r="AZ221" s="535"/>
      <c r="BA221" s="535"/>
      <c r="BB221" s="535"/>
      <c r="BC221" s="535"/>
      <c r="BD221" s="535"/>
      <c r="BE221" s="535"/>
      <c r="BF221" s="535"/>
      <c r="BG221" s="535"/>
      <c r="BH221" s="535"/>
      <c r="BI221" s="535"/>
      <c r="BJ221" s="535"/>
      <c r="BK221" s="535"/>
      <c r="BL221" s="535"/>
      <c r="BM221" s="535"/>
      <c r="BN221" s="535"/>
      <c r="BO221" s="535"/>
      <c r="BP221" s="535"/>
      <c r="BQ221" s="535"/>
      <c r="BR221" s="535"/>
      <c r="BS221" s="535"/>
      <c r="BT221" s="535"/>
      <c r="BU221" s="535"/>
      <c r="BV221" s="535"/>
      <c r="BW221" s="535"/>
      <c r="CH221" s="582"/>
      <c r="CI221" s="577"/>
      <c r="CJ221" s="410"/>
      <c r="CK221" s="410"/>
      <c r="CL221" s="410"/>
      <c r="CM221" s="410"/>
      <c r="CN221" s="410"/>
      <c r="CO221" s="410"/>
      <c r="CP221" s="410"/>
      <c r="CQ221" s="410"/>
      <c r="CR221" s="410"/>
      <c r="CS221" s="410"/>
      <c r="CT221" s="410"/>
      <c r="CU221" s="410"/>
      <c r="CV221" s="410"/>
      <c r="CW221" s="410"/>
      <c r="CX221" s="410"/>
      <c r="CY221" s="410"/>
      <c r="CZ221" s="410"/>
      <c r="DA221" s="410"/>
      <c r="DB221" s="410"/>
      <c r="DC221" s="410"/>
      <c r="DD221" s="410"/>
      <c r="DE221" s="410"/>
      <c r="DF221" s="410"/>
      <c r="DG221" s="410"/>
      <c r="DH221" s="410"/>
      <c r="DI221" s="410"/>
      <c r="DJ221" s="410"/>
    </row>
    <row r="222" spans="1:114" s="412" customFormat="1" ht="15.75" customHeight="1" x14ac:dyDescent="0.25">
      <c r="A222" s="393"/>
      <c r="B222" s="464"/>
      <c r="C222" s="464"/>
      <c r="D222" s="464"/>
      <c r="E222" s="464"/>
      <c r="F222" s="464"/>
      <c r="G222" s="464"/>
      <c r="H222" s="464"/>
      <c r="I222" s="464"/>
      <c r="J222" s="464"/>
      <c r="K222" s="464"/>
      <c r="L222" s="464"/>
      <c r="M222" s="464"/>
      <c r="N222" s="21"/>
      <c r="O222" s="410"/>
      <c r="P222" s="535"/>
      <c r="Q222" s="535"/>
      <c r="R222" s="535"/>
      <c r="S222" s="535"/>
      <c r="T222" s="535"/>
      <c r="U222" s="535"/>
      <c r="V222" s="535"/>
      <c r="W222" s="535"/>
      <c r="X222" s="535"/>
      <c r="Y222" s="535"/>
      <c r="Z222" s="535"/>
      <c r="AA222" s="535"/>
      <c r="AB222" s="535"/>
      <c r="AC222" s="535"/>
      <c r="AD222" s="535"/>
      <c r="AE222" s="535"/>
      <c r="AF222" s="535"/>
      <c r="AG222" s="535"/>
      <c r="AH222" s="535"/>
      <c r="AI222" s="535"/>
      <c r="AJ222" s="535"/>
      <c r="AK222" s="535"/>
      <c r="AL222" s="535"/>
      <c r="AM222" s="535"/>
      <c r="AN222" s="535"/>
      <c r="AO222" s="535"/>
      <c r="AP222" s="535"/>
      <c r="AQ222" s="535"/>
      <c r="AR222" s="535"/>
      <c r="AS222" s="535"/>
      <c r="AT222" s="535"/>
      <c r="AU222" s="535"/>
      <c r="AV222" s="535"/>
      <c r="AW222" s="535"/>
      <c r="AX222" s="535"/>
      <c r="AY222" s="535"/>
      <c r="AZ222" s="535"/>
      <c r="BA222" s="535"/>
      <c r="BB222" s="535"/>
      <c r="BC222" s="535"/>
      <c r="BD222" s="535"/>
      <c r="BE222" s="535"/>
      <c r="BF222" s="535"/>
      <c r="BG222" s="535"/>
      <c r="BH222" s="535"/>
      <c r="BI222" s="535"/>
      <c r="BJ222" s="535"/>
      <c r="BK222" s="535"/>
      <c r="BL222" s="535"/>
      <c r="BM222" s="535"/>
      <c r="BN222" s="535"/>
      <c r="BO222" s="535"/>
      <c r="BP222" s="535"/>
      <c r="BQ222" s="535"/>
      <c r="BR222" s="535"/>
      <c r="BS222" s="535"/>
      <c r="BT222" s="535"/>
      <c r="BU222" s="535"/>
      <c r="BV222" s="535"/>
      <c r="BW222" s="535"/>
      <c r="CH222" s="582"/>
      <c r="CI222" s="577"/>
      <c r="CJ222" s="410"/>
      <c r="CK222" s="410"/>
      <c r="CL222" s="410"/>
      <c r="CM222" s="410"/>
      <c r="CN222" s="410"/>
      <c r="CO222" s="410"/>
      <c r="CP222" s="410"/>
      <c r="CQ222" s="410"/>
      <c r="CR222" s="410"/>
      <c r="CS222" s="410"/>
      <c r="CT222" s="410"/>
      <c r="CU222" s="410"/>
      <c r="CV222" s="410"/>
      <c r="CW222" s="410"/>
      <c r="CX222" s="410"/>
      <c r="CY222" s="410"/>
      <c r="CZ222" s="410"/>
      <c r="DA222" s="410"/>
      <c r="DB222" s="410"/>
      <c r="DC222" s="410"/>
      <c r="DD222" s="410"/>
      <c r="DE222" s="410"/>
      <c r="DF222" s="410"/>
      <c r="DG222" s="410"/>
      <c r="DH222" s="410"/>
      <c r="DI222" s="410"/>
      <c r="DJ222" s="410"/>
    </row>
    <row r="223" spans="1:114" s="412" customFormat="1" ht="15.75" customHeight="1" x14ac:dyDescent="0.2">
      <c r="A223" s="4"/>
      <c r="B223" s="4"/>
      <c r="C223" s="4"/>
      <c r="D223" s="4"/>
      <c r="E223" s="4"/>
      <c r="F223" s="4"/>
      <c r="G223" s="4"/>
      <c r="H223" s="4"/>
      <c r="I223" s="4"/>
      <c r="J223" s="4"/>
      <c r="K223" s="4"/>
      <c r="L223" s="4"/>
      <c r="M223" s="4"/>
      <c r="N223" s="21"/>
      <c r="O223" s="410"/>
      <c r="P223" s="535"/>
      <c r="Q223" s="535"/>
      <c r="R223" s="535"/>
      <c r="S223" s="535"/>
      <c r="T223" s="535"/>
      <c r="U223" s="535"/>
      <c r="V223" s="535"/>
      <c r="W223" s="535"/>
      <c r="X223" s="535"/>
      <c r="Y223" s="535"/>
      <c r="Z223" s="535"/>
      <c r="AA223" s="535"/>
      <c r="AB223" s="535"/>
      <c r="AC223" s="535"/>
      <c r="AD223" s="535"/>
      <c r="AE223" s="535"/>
      <c r="AF223" s="535"/>
      <c r="AG223" s="535"/>
      <c r="AH223" s="535"/>
      <c r="AI223" s="535"/>
      <c r="AJ223" s="535"/>
      <c r="AK223" s="535"/>
      <c r="AL223" s="535"/>
      <c r="AM223" s="535"/>
      <c r="AN223" s="535"/>
      <c r="AO223" s="535"/>
      <c r="AP223" s="535"/>
      <c r="AQ223" s="535"/>
      <c r="AR223" s="535"/>
      <c r="AS223" s="535"/>
      <c r="AT223" s="535"/>
      <c r="AU223" s="535"/>
      <c r="AV223" s="535"/>
      <c r="AW223" s="535"/>
      <c r="AX223" s="535"/>
      <c r="AY223" s="535"/>
      <c r="AZ223" s="535"/>
      <c r="BA223" s="535"/>
      <c r="BB223" s="535"/>
      <c r="BC223" s="535"/>
      <c r="BD223" s="535"/>
      <c r="BE223" s="535"/>
      <c r="BF223" s="535"/>
      <c r="BG223" s="535"/>
      <c r="BH223" s="535"/>
      <c r="BI223" s="535"/>
      <c r="BJ223" s="535"/>
      <c r="BK223" s="535"/>
      <c r="BL223" s="535"/>
      <c r="BM223" s="535"/>
      <c r="BN223" s="535"/>
      <c r="BO223" s="535"/>
      <c r="BP223" s="535"/>
      <c r="BQ223" s="535"/>
      <c r="BR223" s="535"/>
      <c r="BS223" s="535"/>
      <c r="BT223" s="535"/>
      <c r="BU223" s="535"/>
      <c r="BV223" s="535"/>
      <c r="BW223" s="535"/>
      <c r="CH223" s="582"/>
      <c r="CI223" s="577"/>
      <c r="CJ223" s="410"/>
      <c r="CK223" s="410"/>
      <c r="CL223" s="410"/>
      <c r="CM223" s="410"/>
      <c r="CN223" s="410"/>
      <c r="CO223" s="410"/>
      <c r="CP223" s="410"/>
      <c r="CQ223" s="410"/>
      <c r="CR223" s="410"/>
      <c r="CS223" s="410"/>
      <c r="CT223" s="410"/>
      <c r="CU223" s="410"/>
      <c r="CV223" s="410"/>
      <c r="CW223" s="410"/>
      <c r="CX223" s="410"/>
      <c r="CY223" s="410"/>
      <c r="CZ223" s="410"/>
      <c r="DA223" s="410"/>
      <c r="DB223" s="410"/>
      <c r="DC223" s="410"/>
      <c r="DD223" s="410"/>
      <c r="DE223" s="410"/>
      <c r="DF223" s="410"/>
      <c r="DG223" s="410"/>
      <c r="DH223" s="410"/>
      <c r="DI223" s="410"/>
      <c r="DJ223" s="410"/>
    </row>
    <row r="224" spans="1:114" s="412" customFormat="1" ht="15.75" customHeight="1" x14ac:dyDescent="0.25">
      <c r="A224" s="390"/>
      <c r="B224" s="464"/>
      <c r="C224" s="464"/>
      <c r="D224" s="464"/>
      <c r="E224" s="464"/>
      <c r="F224" s="464"/>
      <c r="G224" s="464"/>
      <c r="H224" s="464"/>
      <c r="I224" s="464"/>
      <c r="J224" s="464"/>
      <c r="K224" s="464"/>
      <c r="L224" s="464"/>
      <c r="M224" s="464"/>
      <c r="N224" s="21"/>
      <c r="O224" s="410"/>
      <c r="P224" s="535"/>
      <c r="Q224" s="535"/>
      <c r="R224" s="535"/>
      <c r="S224" s="535"/>
      <c r="T224" s="535"/>
      <c r="U224" s="535"/>
      <c r="V224" s="535"/>
      <c r="W224" s="535"/>
      <c r="X224" s="535"/>
      <c r="Y224" s="535"/>
      <c r="Z224" s="535"/>
      <c r="AA224" s="535"/>
      <c r="AB224" s="535"/>
      <c r="AC224" s="535"/>
      <c r="AD224" s="535"/>
      <c r="AE224" s="535"/>
      <c r="AF224" s="535"/>
      <c r="AG224" s="535"/>
      <c r="AH224" s="535"/>
      <c r="AI224" s="535"/>
      <c r="AJ224" s="535"/>
      <c r="AK224" s="535"/>
      <c r="AL224" s="535"/>
      <c r="AM224" s="535"/>
      <c r="AN224" s="535"/>
      <c r="AO224" s="535"/>
      <c r="AP224" s="535"/>
      <c r="AQ224" s="535"/>
      <c r="AR224" s="535"/>
      <c r="AS224" s="535"/>
      <c r="AT224" s="535"/>
      <c r="AU224" s="535"/>
      <c r="AV224" s="535"/>
      <c r="AW224" s="535"/>
      <c r="AX224" s="535"/>
      <c r="AY224" s="535"/>
      <c r="AZ224" s="535"/>
      <c r="BA224" s="535"/>
      <c r="BB224" s="535"/>
      <c r="BC224" s="535"/>
      <c r="BD224" s="535"/>
      <c r="BE224" s="535"/>
      <c r="BF224" s="535"/>
      <c r="BG224" s="535"/>
      <c r="BH224" s="535"/>
      <c r="BI224" s="535"/>
      <c r="BJ224" s="535"/>
      <c r="BK224" s="535"/>
      <c r="BL224" s="535"/>
      <c r="BM224" s="535"/>
      <c r="BN224" s="535"/>
      <c r="BO224" s="535"/>
      <c r="BP224" s="535"/>
      <c r="BQ224" s="535"/>
      <c r="BR224" s="535"/>
      <c r="BS224" s="535"/>
      <c r="BT224" s="535"/>
      <c r="BU224" s="535"/>
      <c r="BV224" s="535"/>
      <c r="BW224" s="535"/>
      <c r="CH224" s="582"/>
      <c r="CI224" s="577"/>
      <c r="CJ224" s="410"/>
      <c r="CK224" s="410"/>
      <c r="CL224" s="410"/>
      <c r="CM224" s="410"/>
      <c r="CN224" s="410"/>
      <c r="CO224" s="410"/>
      <c r="CP224" s="410"/>
      <c r="CQ224" s="410"/>
      <c r="CR224" s="410"/>
      <c r="CS224" s="410"/>
      <c r="CT224" s="410"/>
      <c r="CU224" s="410"/>
      <c r="CV224" s="410"/>
      <c r="CW224" s="410"/>
      <c r="CX224" s="410"/>
      <c r="CY224" s="410"/>
      <c r="CZ224" s="410"/>
      <c r="DA224" s="410"/>
      <c r="DB224" s="410"/>
      <c r="DC224" s="410"/>
      <c r="DD224" s="410"/>
      <c r="DE224" s="410"/>
      <c r="DF224" s="410"/>
      <c r="DG224" s="410"/>
      <c r="DH224" s="410"/>
      <c r="DI224" s="410"/>
      <c r="DJ224" s="410"/>
    </row>
    <row r="225" spans="1:114" s="412" customFormat="1" ht="15.75" customHeight="1" thickBot="1" x14ac:dyDescent="0.3">
      <c r="A225" s="390"/>
      <c r="B225" s="464"/>
      <c r="C225" s="464"/>
      <c r="D225" s="464"/>
      <c r="E225" s="464"/>
      <c r="F225" s="464"/>
      <c r="G225" s="464"/>
      <c r="H225" s="464"/>
      <c r="I225" s="464"/>
      <c r="J225" s="464"/>
      <c r="K225" s="464"/>
      <c r="L225" s="464"/>
      <c r="M225" s="464"/>
      <c r="N225" s="21"/>
      <c r="O225" s="410"/>
      <c r="P225" s="535"/>
      <c r="Q225" s="535"/>
      <c r="R225" s="535"/>
      <c r="S225" s="597" t="s">
        <v>316</v>
      </c>
      <c r="T225" s="597" t="s">
        <v>380</v>
      </c>
      <c r="U225" s="535"/>
      <c r="V225" s="535"/>
      <c r="W225" s="535"/>
      <c r="X225" s="535"/>
      <c r="Y225" s="535"/>
      <c r="Z225" s="535"/>
      <c r="AA225" s="535"/>
      <c r="AB225" s="535"/>
      <c r="AC225" s="535"/>
      <c r="AD225" s="535"/>
      <c r="AE225" s="535"/>
      <c r="AF225" s="535"/>
      <c r="AG225" s="535"/>
      <c r="AH225" s="535"/>
      <c r="AI225" s="535"/>
      <c r="AJ225" s="535"/>
      <c r="AK225" s="535"/>
      <c r="AL225" s="535"/>
      <c r="AM225" s="535"/>
      <c r="AN225" s="535"/>
      <c r="AO225" s="535"/>
      <c r="AP225" s="535"/>
      <c r="AQ225" s="535"/>
      <c r="AR225" s="535"/>
      <c r="AS225" s="535"/>
      <c r="AT225" s="535"/>
      <c r="AU225" s="535"/>
      <c r="AV225" s="535"/>
      <c r="AW225" s="535"/>
      <c r="AX225" s="535"/>
      <c r="AY225" s="535"/>
      <c r="AZ225" s="535"/>
      <c r="BA225" s="535"/>
      <c r="BB225" s="535"/>
      <c r="BC225" s="535"/>
      <c r="BD225" s="535"/>
      <c r="BE225" s="535"/>
      <c r="BF225" s="535"/>
      <c r="BG225" s="535"/>
      <c r="BH225" s="535"/>
      <c r="BI225" s="535"/>
      <c r="BJ225" s="535"/>
      <c r="BK225" s="535"/>
      <c r="BL225" s="535"/>
      <c r="BM225" s="535"/>
      <c r="BN225" s="535"/>
      <c r="BO225" s="535"/>
      <c r="BP225" s="535"/>
      <c r="BQ225" s="535"/>
      <c r="BR225" s="535"/>
      <c r="BS225" s="535"/>
      <c r="BT225" s="535"/>
      <c r="BU225" s="535"/>
      <c r="BV225" s="535"/>
      <c r="BW225" s="535"/>
      <c r="CH225" s="582"/>
      <c r="CI225" s="577"/>
      <c r="CJ225" s="410"/>
      <c r="CK225" s="410"/>
      <c r="CL225" s="410"/>
      <c r="CM225" s="410"/>
      <c r="CN225" s="410"/>
      <c r="CO225" s="410"/>
      <c r="CP225" s="410"/>
      <c r="CQ225" s="410"/>
      <c r="CR225" s="410"/>
      <c r="CS225" s="410"/>
      <c r="CT225" s="410"/>
      <c r="CU225" s="410"/>
      <c r="CV225" s="410"/>
      <c r="CW225" s="410"/>
      <c r="CX225" s="410"/>
      <c r="CY225" s="410"/>
      <c r="CZ225" s="410"/>
      <c r="DA225" s="410"/>
      <c r="DB225" s="410"/>
      <c r="DC225" s="410"/>
      <c r="DD225" s="410"/>
      <c r="DE225" s="410"/>
      <c r="DF225" s="410"/>
      <c r="DG225" s="410"/>
      <c r="DH225" s="410"/>
      <c r="DI225" s="410"/>
      <c r="DJ225" s="410"/>
    </row>
    <row r="226" spans="1:114" s="456" customFormat="1" ht="15.75" customHeight="1" x14ac:dyDescent="0.2">
      <c r="A226" s="1507" t="s">
        <v>359</v>
      </c>
      <c r="B226" s="503">
        <f>P226</f>
        <v>0</v>
      </c>
      <c r="C226" s="690"/>
      <c r="D226" s="1246"/>
      <c r="E226" s="1508" t="s">
        <v>359</v>
      </c>
      <c r="F226" s="495"/>
      <c r="G226" s="503">
        <f>+Q226</f>
        <v>0</v>
      </c>
      <c r="H226" s="1246"/>
      <c r="I226" s="1508" t="s">
        <v>360</v>
      </c>
      <c r="J226" s="495"/>
      <c r="K226" s="495"/>
      <c r="L226" s="2139" t="str">
        <f>+S226</f>
        <v>0</v>
      </c>
      <c r="M226" s="2140"/>
      <c r="N226" s="21"/>
      <c r="O226" s="410"/>
      <c r="P226" s="598">
        <f>B204*D213/100</f>
        <v>0</v>
      </c>
      <c r="Q226" s="599">
        <f>B204-B226-L226</f>
        <v>0</v>
      </c>
      <c r="R226" s="600"/>
      <c r="S226" s="599" t="str">
        <f>IF(G227+L227=0,"0",B204*E213/100*((D204-G227)/(L227-G227)))</f>
        <v>0</v>
      </c>
      <c r="T226" s="601">
        <f>S226*(1/0.9)</f>
        <v>0</v>
      </c>
      <c r="U226" s="535"/>
      <c r="V226" s="535"/>
      <c r="W226" s="535"/>
      <c r="X226" s="535"/>
      <c r="Y226" s="535"/>
      <c r="Z226" s="535"/>
      <c r="AA226" s="535"/>
      <c r="AB226" s="535"/>
      <c r="AC226" s="535"/>
      <c r="AD226" s="535"/>
      <c r="AE226" s="535"/>
      <c r="AF226" s="535"/>
      <c r="AG226" s="535"/>
      <c r="AH226" s="535"/>
      <c r="AI226" s="535"/>
      <c r="AJ226" s="535"/>
      <c r="AK226" s="535"/>
      <c r="AL226" s="535"/>
      <c r="AM226" s="535"/>
      <c r="AN226" s="535"/>
      <c r="AO226" s="535"/>
      <c r="AP226" s="535"/>
      <c r="AQ226" s="535"/>
      <c r="AR226" s="535"/>
      <c r="AS226" s="535"/>
      <c r="AT226" s="535"/>
      <c r="AU226" s="535"/>
      <c r="AV226" s="535"/>
      <c r="AW226" s="535"/>
      <c r="AX226" s="535"/>
      <c r="AY226" s="535"/>
      <c r="AZ226" s="535"/>
      <c r="BA226" s="535"/>
      <c r="BB226" s="535"/>
      <c r="BC226" s="535"/>
      <c r="BD226" s="535"/>
      <c r="BE226" s="535"/>
      <c r="BF226" s="535"/>
      <c r="BG226" s="535"/>
      <c r="BH226" s="535"/>
      <c r="BI226" s="535"/>
      <c r="BJ226" s="535"/>
      <c r="BK226" s="535"/>
      <c r="BL226" s="535"/>
      <c r="BM226" s="535"/>
      <c r="BN226" s="535"/>
      <c r="BO226" s="535"/>
      <c r="BP226" s="535"/>
      <c r="BQ226" s="535"/>
      <c r="BR226" s="535"/>
      <c r="BS226" s="535"/>
      <c r="BT226" s="535"/>
      <c r="BU226" s="535"/>
      <c r="BV226" s="535"/>
      <c r="BW226" s="535"/>
      <c r="CH226" s="581">
        <f>+AI295</f>
        <v>0</v>
      </c>
      <c r="CI226" s="602">
        <f>IF(T226=" ",0,CH226*T226)</f>
        <v>0</v>
      </c>
      <c r="CJ226" s="410"/>
      <c r="CK226" s="410"/>
      <c r="CL226" s="410"/>
      <c r="CM226" s="410"/>
      <c r="CN226" s="410"/>
      <c r="CO226" s="410"/>
      <c r="CP226" s="410"/>
      <c r="CQ226" s="410"/>
      <c r="CR226" s="410"/>
      <c r="CS226" s="410"/>
      <c r="CT226" s="410"/>
      <c r="CU226" s="410"/>
      <c r="CV226" s="410"/>
      <c r="CW226" s="410"/>
      <c r="CX226" s="410"/>
      <c r="CY226" s="410"/>
      <c r="CZ226" s="410"/>
      <c r="DA226" s="410"/>
      <c r="DB226" s="410"/>
      <c r="DC226" s="410"/>
      <c r="DD226" s="410"/>
      <c r="DE226" s="410"/>
      <c r="DF226" s="410"/>
      <c r="DG226" s="410"/>
      <c r="DH226" s="410"/>
      <c r="DI226" s="410"/>
      <c r="DJ226" s="410"/>
    </row>
    <row r="227" spans="1:114" s="456" customFormat="1" ht="15.75" customHeight="1" thickBot="1" x14ac:dyDescent="0.25">
      <c r="A227" s="1506" t="s">
        <v>361</v>
      </c>
      <c r="B227" s="504">
        <f>D204</f>
        <v>0</v>
      </c>
      <c r="C227" s="703"/>
      <c r="D227" s="1246"/>
      <c r="E227" s="1865" t="s">
        <v>361</v>
      </c>
      <c r="F227" s="1866"/>
      <c r="G227" s="496"/>
      <c r="H227" s="1246"/>
      <c r="I227" s="1865" t="s">
        <v>361</v>
      </c>
      <c r="J227" s="1866"/>
      <c r="K227" s="644"/>
      <c r="L227" s="2154"/>
      <c r="M227" s="2155"/>
      <c r="N227" s="21"/>
      <c r="O227" s="410"/>
      <c r="P227" s="535"/>
      <c r="Q227" s="535"/>
      <c r="R227" s="535"/>
      <c r="S227" s="535"/>
      <c r="T227" s="535"/>
      <c r="U227" s="535"/>
      <c r="V227" s="535"/>
      <c r="W227" s="535"/>
      <c r="X227" s="535"/>
      <c r="Y227" s="535"/>
      <c r="Z227" s="535"/>
      <c r="AA227" s="535"/>
      <c r="AB227" s="535"/>
      <c r="AC227" s="535"/>
      <c r="AD227" s="535"/>
      <c r="AE227" s="535"/>
      <c r="AF227" s="535"/>
      <c r="AG227" s="535"/>
      <c r="AH227" s="535"/>
      <c r="AI227" s="535"/>
      <c r="AJ227" s="535"/>
      <c r="AK227" s="535"/>
      <c r="AL227" s="535"/>
      <c r="AM227" s="535"/>
      <c r="AN227" s="535"/>
      <c r="AO227" s="535"/>
      <c r="AP227" s="535"/>
      <c r="AQ227" s="535"/>
      <c r="AR227" s="535"/>
      <c r="AS227" s="535"/>
      <c r="AT227" s="535"/>
      <c r="AU227" s="535"/>
      <c r="AV227" s="535"/>
      <c r="AW227" s="535"/>
      <c r="AX227" s="535"/>
      <c r="AY227" s="535"/>
      <c r="AZ227" s="535"/>
      <c r="BA227" s="535"/>
      <c r="BB227" s="535"/>
      <c r="BC227" s="535"/>
      <c r="BD227" s="535"/>
      <c r="BE227" s="535"/>
      <c r="BF227" s="535"/>
      <c r="BG227" s="535"/>
      <c r="BH227" s="535"/>
      <c r="BI227" s="535"/>
      <c r="BJ227" s="535"/>
      <c r="BK227" s="535"/>
      <c r="BL227" s="535"/>
      <c r="BM227" s="535"/>
      <c r="BN227" s="535"/>
      <c r="BO227" s="535"/>
      <c r="BP227" s="535"/>
      <c r="BQ227" s="535"/>
      <c r="BR227" s="535"/>
      <c r="BS227" s="535"/>
      <c r="BT227" s="535"/>
      <c r="BU227" s="535"/>
      <c r="BV227" s="535"/>
      <c r="BW227" s="535"/>
      <c r="CH227" s="582"/>
      <c r="CI227" s="596"/>
      <c r="CJ227" s="410"/>
      <c r="CK227" s="410"/>
      <c r="CL227" s="410"/>
      <c r="CM227" s="410"/>
      <c r="CN227" s="410"/>
      <c r="CO227" s="410"/>
      <c r="CP227" s="410"/>
      <c r="CQ227" s="410"/>
      <c r="CR227" s="410"/>
      <c r="CS227" s="410"/>
      <c r="CT227" s="410"/>
      <c r="CU227" s="410"/>
      <c r="CV227" s="410"/>
      <c r="CW227" s="410"/>
      <c r="CX227" s="410"/>
      <c r="CY227" s="410"/>
      <c r="CZ227" s="410"/>
      <c r="DA227" s="410"/>
      <c r="DB227" s="410"/>
      <c r="DC227" s="410"/>
      <c r="DD227" s="410"/>
      <c r="DE227" s="410"/>
      <c r="DF227" s="410"/>
      <c r="DG227" s="410"/>
      <c r="DH227" s="410"/>
      <c r="DI227" s="410"/>
      <c r="DJ227" s="410"/>
    </row>
    <row r="228" spans="1:114" s="456" customFormat="1" ht="15.75" customHeight="1" x14ac:dyDescent="0.2">
      <c r="A228" s="457"/>
      <c r="B228" s="457"/>
      <c r="C228" s="457"/>
      <c r="D228" s="457"/>
      <c r="E228" s="1585" t="str">
        <f>IF(E213&gt;0,IF(L227&gt;0,"","Es muss in Zelle L227 ein Wert eingetragen werden"),"")</f>
        <v/>
      </c>
      <c r="F228" s="457"/>
      <c r="G228" s="457"/>
      <c r="H228" s="457"/>
      <c r="I228" s="457"/>
      <c r="J228" s="457"/>
      <c r="K228" s="457"/>
      <c r="L228" s="21"/>
      <c r="M228" s="21"/>
      <c r="N228" s="21"/>
      <c r="O228" s="410"/>
      <c r="P228" s="535"/>
      <c r="Q228" s="535"/>
      <c r="R228" s="535"/>
      <c r="S228" s="535"/>
      <c r="T228" s="535"/>
      <c r="U228" s="535"/>
      <c r="V228" s="535"/>
      <c r="W228" s="535"/>
      <c r="X228" s="535"/>
      <c r="Y228" s="535"/>
      <c r="Z228" s="535"/>
      <c r="AA228" s="535"/>
      <c r="AB228" s="535"/>
      <c r="AC228" s="535"/>
      <c r="AD228" s="535"/>
      <c r="AE228" s="535"/>
      <c r="AF228" s="535"/>
      <c r="AG228" s="535"/>
      <c r="AH228" s="535"/>
      <c r="AI228" s="535"/>
      <c r="AJ228" s="535"/>
      <c r="AK228" s="535"/>
      <c r="AL228" s="535"/>
      <c r="AM228" s="535"/>
      <c r="AN228" s="535"/>
      <c r="AO228" s="535"/>
      <c r="AP228" s="535"/>
      <c r="AQ228" s="535"/>
      <c r="AR228" s="535"/>
      <c r="AS228" s="535"/>
      <c r="AT228" s="535"/>
      <c r="AU228" s="535"/>
      <c r="AV228" s="535"/>
      <c r="AW228" s="535"/>
      <c r="AX228" s="535"/>
      <c r="AY228" s="535"/>
      <c r="AZ228" s="535"/>
      <c r="BA228" s="535"/>
      <c r="BB228" s="535"/>
      <c r="BC228" s="535"/>
      <c r="BD228" s="535"/>
      <c r="BE228" s="535"/>
      <c r="BF228" s="535"/>
      <c r="BG228" s="535"/>
      <c r="BH228" s="535"/>
      <c r="BI228" s="535"/>
      <c r="BJ228" s="535"/>
      <c r="BK228" s="535"/>
      <c r="BL228" s="535"/>
      <c r="BM228" s="535"/>
      <c r="BN228" s="535"/>
      <c r="BO228" s="535"/>
      <c r="BP228" s="535"/>
      <c r="BQ228" s="535"/>
      <c r="BR228" s="535"/>
      <c r="BS228" s="535"/>
      <c r="BT228" s="535"/>
      <c r="BU228" s="535"/>
      <c r="BV228" s="535"/>
      <c r="BW228" s="535"/>
      <c r="CH228" s="582"/>
      <c r="CI228" s="577"/>
      <c r="CJ228" s="410"/>
      <c r="CK228" s="410"/>
      <c r="CL228" s="410"/>
      <c r="CM228" s="410"/>
      <c r="CN228" s="410"/>
      <c r="CO228" s="410"/>
      <c r="CP228" s="410"/>
      <c r="CQ228" s="410"/>
      <c r="CR228" s="410"/>
      <c r="CS228" s="410"/>
      <c r="CT228" s="410"/>
      <c r="CU228" s="410"/>
      <c r="CV228" s="410"/>
      <c r="CW228" s="410"/>
      <c r="CX228" s="410"/>
      <c r="CY228" s="410"/>
      <c r="CZ228" s="410"/>
      <c r="DA228" s="410"/>
      <c r="DB228" s="410"/>
      <c r="DC228" s="410"/>
      <c r="DD228" s="410"/>
      <c r="DE228" s="410"/>
      <c r="DF228" s="410"/>
      <c r="DG228" s="410"/>
      <c r="DH228" s="410"/>
      <c r="DI228" s="410"/>
      <c r="DJ228" s="410"/>
    </row>
    <row r="229" spans="1:114" s="456" customFormat="1" ht="15.75" customHeight="1" thickBot="1" x14ac:dyDescent="0.25">
      <c r="A229" s="457"/>
      <c r="B229" s="457"/>
      <c r="C229" s="457"/>
      <c r="D229" s="457"/>
      <c r="E229" s="1585" t="str">
        <f>IF(E213&gt;0,IF(G227&gt;0,"","Es muss in Zelle G227 ein Wert eingetragen werden"),"")</f>
        <v/>
      </c>
      <c r="F229" s="457"/>
      <c r="G229" s="457"/>
      <c r="H229" s="457"/>
      <c r="I229" s="457"/>
      <c r="J229" s="457"/>
      <c r="K229" s="457"/>
      <c r="L229" s="21"/>
      <c r="M229" s="21"/>
      <c r="N229" s="21"/>
      <c r="O229" s="410"/>
      <c r="P229" s="535"/>
      <c r="Q229" s="535"/>
      <c r="R229" s="535"/>
      <c r="S229" s="535"/>
      <c r="T229" s="535"/>
      <c r="U229" s="535"/>
      <c r="V229" s="535"/>
      <c r="W229" s="535"/>
      <c r="X229" s="535"/>
      <c r="Y229" s="535"/>
      <c r="Z229" s="535"/>
      <c r="AA229" s="535"/>
      <c r="AB229" s="535"/>
      <c r="AC229" s="535"/>
      <c r="AD229" s="535"/>
      <c r="AE229" s="535"/>
      <c r="AF229" s="535"/>
      <c r="AG229" s="535"/>
      <c r="AH229" s="535"/>
      <c r="AI229" s="535"/>
      <c r="AJ229" s="535"/>
      <c r="AK229" s="535"/>
      <c r="AL229" s="535"/>
      <c r="AM229" s="535"/>
      <c r="AN229" s="535"/>
      <c r="AO229" s="535"/>
      <c r="AP229" s="535"/>
      <c r="AQ229" s="535"/>
      <c r="AR229" s="535"/>
      <c r="AS229" s="535"/>
      <c r="AT229" s="535"/>
      <c r="AU229" s="535"/>
      <c r="AV229" s="535"/>
      <c r="AW229" s="535"/>
      <c r="AX229" s="535"/>
      <c r="AY229" s="535"/>
      <c r="AZ229" s="535"/>
      <c r="BA229" s="535"/>
      <c r="BB229" s="535"/>
      <c r="BC229" s="535"/>
      <c r="BD229" s="535"/>
      <c r="BE229" s="535"/>
      <c r="BF229" s="535"/>
      <c r="BG229" s="535"/>
      <c r="BH229" s="535"/>
      <c r="BI229" s="535"/>
      <c r="BJ229" s="535"/>
      <c r="BK229" s="535"/>
      <c r="BL229" s="535"/>
      <c r="BM229" s="535"/>
      <c r="BN229" s="535"/>
      <c r="BO229" s="535"/>
      <c r="BP229" s="535"/>
      <c r="BQ229" s="535"/>
      <c r="BR229" s="535"/>
      <c r="BS229" s="535"/>
      <c r="BT229" s="535"/>
      <c r="BU229" s="535"/>
      <c r="BV229" s="535"/>
      <c r="BW229" s="535"/>
      <c r="CH229" s="582"/>
      <c r="CI229" s="577"/>
      <c r="CJ229" s="410"/>
      <c r="CK229" s="410"/>
      <c r="CL229" s="410"/>
      <c r="CM229" s="410"/>
      <c r="CN229" s="410"/>
      <c r="CO229" s="410"/>
      <c r="CP229" s="410"/>
      <c r="CQ229" s="410"/>
      <c r="CR229" s="410"/>
      <c r="CS229" s="410"/>
      <c r="CT229" s="410"/>
      <c r="CU229" s="410"/>
      <c r="CV229" s="410"/>
      <c r="CW229" s="410"/>
      <c r="CX229" s="410"/>
      <c r="CY229" s="410"/>
      <c r="CZ229" s="410"/>
      <c r="DA229" s="410"/>
      <c r="DB229" s="410"/>
      <c r="DC229" s="410"/>
      <c r="DD229" s="410"/>
      <c r="DE229" s="410"/>
      <c r="DF229" s="410"/>
      <c r="DG229" s="410"/>
      <c r="DH229" s="410"/>
      <c r="DI229" s="410"/>
      <c r="DJ229" s="410"/>
    </row>
    <row r="230" spans="1:114" s="458" customFormat="1" x14ac:dyDescent="0.2">
      <c r="A230" s="1512"/>
      <c r="B230" s="1513"/>
      <c r="C230" s="1513"/>
      <c r="D230" s="1513"/>
      <c r="E230" s="1513"/>
      <c r="F230" s="1513"/>
      <c r="G230" s="1513"/>
      <c r="H230" s="1513"/>
      <c r="I230" s="1513"/>
      <c r="J230" s="1897" t="s">
        <v>44</v>
      </c>
      <c r="K230" s="1898"/>
      <c r="L230" s="1898"/>
      <c r="M230" s="1899"/>
      <c r="N230" s="9"/>
      <c r="P230" s="522"/>
      <c r="Q230" s="522"/>
      <c r="R230" s="522"/>
      <c r="S230" s="522"/>
      <c r="T230" s="522"/>
      <c r="U230" s="522"/>
      <c r="V230" s="522"/>
      <c r="W230" s="522"/>
      <c r="X230" s="522"/>
      <c r="Y230" s="522"/>
      <c r="Z230" s="522"/>
      <c r="AA230" s="522"/>
      <c r="AB230" s="522"/>
      <c r="AC230" s="522"/>
      <c r="AD230" s="522"/>
      <c r="AE230" s="522"/>
      <c r="AF230" s="522"/>
      <c r="AG230" s="522"/>
      <c r="AH230" s="522"/>
      <c r="AI230" s="522"/>
      <c r="AJ230" s="522"/>
      <c r="AK230" s="522"/>
      <c r="AL230" s="522"/>
      <c r="AM230" s="522"/>
      <c r="AN230" s="522"/>
      <c r="AO230" s="522"/>
      <c r="AP230" s="522"/>
      <c r="AQ230" s="522"/>
      <c r="AR230" s="522"/>
      <c r="AS230" s="522"/>
      <c r="AT230" s="522"/>
      <c r="AU230" s="522"/>
      <c r="AV230" s="522"/>
      <c r="AW230" s="522"/>
      <c r="AX230" s="522"/>
      <c r="AY230" s="522"/>
      <c r="AZ230" s="522"/>
      <c r="BA230" s="522"/>
      <c r="BB230" s="522"/>
      <c r="BC230" s="522"/>
      <c r="BD230" s="522"/>
      <c r="BE230" s="522"/>
      <c r="BF230" s="522"/>
      <c r="BG230" s="522"/>
      <c r="BH230" s="522"/>
      <c r="BI230" s="522"/>
      <c r="BJ230" s="522"/>
      <c r="BK230" s="522"/>
      <c r="BL230" s="522"/>
      <c r="BM230" s="522"/>
      <c r="BN230" s="522"/>
      <c r="BO230" s="522"/>
      <c r="BP230" s="522"/>
      <c r="BQ230" s="522"/>
      <c r="BR230" s="522"/>
      <c r="BS230" s="522"/>
      <c r="BT230" s="522"/>
      <c r="BU230" s="522"/>
      <c r="BV230" s="522"/>
      <c r="BW230" s="522"/>
      <c r="CH230" s="603"/>
      <c r="CI230" s="577"/>
    </row>
    <row r="231" spans="1:114" s="458" customFormat="1" x14ac:dyDescent="0.2">
      <c r="A231" s="1514"/>
      <c r="B231" s="1509"/>
      <c r="C231" s="1509"/>
      <c r="D231" s="1509"/>
      <c r="E231" s="1509"/>
      <c r="F231" s="1509"/>
      <c r="G231" s="1509"/>
      <c r="H231" s="1509"/>
      <c r="I231" s="1509"/>
      <c r="J231" s="1922" t="s">
        <v>314</v>
      </c>
      <c r="K231" s="1923"/>
      <c r="L231" s="1924" t="s">
        <v>315</v>
      </c>
      <c r="M231" s="1923"/>
      <c r="N231" s="9"/>
      <c r="P231" s="522"/>
      <c r="Q231" s="522"/>
      <c r="R231" s="522"/>
      <c r="S231" s="522"/>
      <c r="T231" s="522"/>
      <c r="U231" s="522"/>
      <c r="V231" s="535"/>
      <c r="W231" s="535"/>
      <c r="X231" s="522"/>
      <c r="Y231" s="522"/>
      <c r="Z231" s="522"/>
      <c r="AA231" s="522"/>
      <c r="AB231" s="522"/>
      <c r="AC231" s="522"/>
      <c r="AD231" s="522"/>
      <c r="AE231" s="522"/>
      <c r="AF231" s="522"/>
      <c r="AG231" s="522"/>
      <c r="AH231" s="522"/>
      <c r="AI231" s="522"/>
      <c r="AJ231" s="522"/>
      <c r="AK231" s="522"/>
      <c r="AL231" s="522"/>
      <c r="AM231" s="522"/>
      <c r="AN231" s="522"/>
      <c r="AO231" s="522"/>
      <c r="AP231" s="522"/>
      <c r="AQ231" s="522"/>
      <c r="AR231" s="522"/>
      <c r="AS231" s="522"/>
      <c r="AT231" s="522"/>
      <c r="AU231" s="522"/>
      <c r="AV231" s="522"/>
      <c r="AW231" s="522"/>
      <c r="AX231" s="522"/>
      <c r="AY231" s="522"/>
      <c r="AZ231" s="522"/>
      <c r="BA231" s="522"/>
      <c r="BB231" s="522"/>
      <c r="BC231" s="522"/>
      <c r="BD231" s="522"/>
      <c r="BE231" s="522"/>
      <c r="BF231" s="522"/>
      <c r="BG231" s="522"/>
      <c r="BH231" s="522"/>
      <c r="BI231" s="522"/>
      <c r="BJ231" s="522"/>
      <c r="BK231" s="522"/>
      <c r="BL231" s="522"/>
      <c r="BM231" s="522"/>
      <c r="BN231" s="522"/>
      <c r="BO231" s="522"/>
      <c r="BP231" s="522"/>
      <c r="BQ231" s="522"/>
      <c r="BR231" s="522"/>
      <c r="BS231" s="522"/>
      <c r="BT231" s="522"/>
      <c r="BU231" s="522"/>
      <c r="BV231" s="522"/>
      <c r="BW231" s="522"/>
      <c r="CH231" s="603"/>
      <c r="CI231" s="577"/>
    </row>
    <row r="232" spans="1:114" s="456" customFormat="1" ht="15.75" customHeight="1" thickBot="1" x14ac:dyDescent="0.25">
      <c r="A232" s="1515"/>
      <c r="B232" s="1510"/>
      <c r="C232" s="1510"/>
      <c r="D232" s="1510"/>
      <c r="E232" s="1511"/>
      <c r="F232" s="1511"/>
      <c r="G232" s="1511"/>
      <c r="H232" s="1511"/>
      <c r="I232" s="1511"/>
      <c r="J232" s="1867" t="s">
        <v>362</v>
      </c>
      <c r="K232" s="1868"/>
      <c r="L232" s="1925" t="s">
        <v>362</v>
      </c>
      <c r="M232" s="1868"/>
      <c r="N232" s="21"/>
      <c r="O232" s="410"/>
      <c r="P232" s="535"/>
      <c r="Q232" s="585"/>
      <c r="R232" s="535"/>
      <c r="S232" s="535"/>
      <c r="T232" s="535"/>
      <c r="U232" s="535"/>
      <c r="V232" s="535"/>
      <c r="W232" s="535"/>
      <c r="X232" s="535"/>
      <c r="Y232" s="535"/>
      <c r="Z232" s="535"/>
      <c r="AA232" s="535"/>
      <c r="AB232" s="535"/>
      <c r="AC232" s="535"/>
      <c r="AD232" s="535"/>
      <c r="AE232" s="535"/>
      <c r="AF232" s="535"/>
      <c r="AG232" s="535"/>
      <c r="AH232" s="535"/>
      <c r="AI232" s="535"/>
      <c r="AJ232" s="535"/>
      <c r="AK232" s="535"/>
      <c r="AL232" s="535"/>
      <c r="AM232" s="535"/>
      <c r="AN232" s="535"/>
      <c r="AO232" s="535"/>
      <c r="AP232" s="535"/>
      <c r="AQ232" s="535"/>
      <c r="AR232" s="535"/>
      <c r="AS232" s="535"/>
      <c r="AT232" s="535"/>
      <c r="AU232" s="535"/>
      <c r="AV232" s="535"/>
      <c r="AW232" s="535"/>
      <c r="AX232" s="535"/>
      <c r="AY232" s="535"/>
      <c r="AZ232" s="535"/>
      <c r="BA232" s="535"/>
      <c r="BB232" s="535"/>
      <c r="BC232" s="535"/>
      <c r="BD232" s="535"/>
      <c r="BE232" s="535"/>
      <c r="BF232" s="535"/>
      <c r="BG232" s="535"/>
      <c r="BH232" s="535"/>
      <c r="BI232" s="535"/>
      <c r="BJ232" s="535"/>
      <c r="BK232" s="535"/>
      <c r="BL232" s="535"/>
      <c r="BM232" s="535"/>
      <c r="BN232" s="535"/>
      <c r="BO232" s="535"/>
      <c r="BP232" s="535"/>
      <c r="BQ232" s="535"/>
      <c r="BR232" s="535"/>
      <c r="BS232" s="535"/>
      <c r="BT232" s="535"/>
      <c r="BU232" s="535"/>
      <c r="BV232" s="535"/>
      <c r="BW232" s="535"/>
      <c r="CH232" s="582"/>
      <c r="CI232" s="577"/>
      <c r="CJ232" s="410"/>
      <c r="CK232" s="410"/>
      <c r="CL232" s="410"/>
      <c r="CM232" s="410"/>
      <c r="CN232" s="410"/>
      <c r="CO232" s="410"/>
      <c r="CP232" s="410"/>
      <c r="CQ232" s="410"/>
      <c r="CR232" s="410"/>
      <c r="CS232" s="410"/>
      <c r="CT232" s="410"/>
      <c r="CU232" s="410"/>
      <c r="CV232" s="410"/>
      <c r="CW232" s="410"/>
      <c r="CX232" s="410"/>
      <c r="CY232" s="410"/>
      <c r="CZ232" s="410"/>
      <c r="DA232" s="410"/>
      <c r="DB232" s="410"/>
      <c r="DC232" s="410"/>
      <c r="DD232" s="410"/>
      <c r="DE232" s="410"/>
      <c r="DF232" s="410"/>
      <c r="DG232" s="410"/>
      <c r="DH232" s="410"/>
      <c r="DI232" s="410"/>
      <c r="DJ232" s="410"/>
    </row>
    <row r="233" spans="1:114" s="456" customFormat="1" ht="15.75" customHeight="1" x14ac:dyDescent="0.2">
      <c r="A233" s="1517" t="s">
        <v>857</v>
      </c>
      <c r="B233" s="1518"/>
      <c r="C233" s="1518"/>
      <c r="D233" s="1518"/>
      <c r="E233" s="1519"/>
      <c r="F233" s="1519"/>
      <c r="G233" s="1519"/>
      <c r="H233" s="1519"/>
      <c r="I233" s="1519"/>
      <c r="J233" s="2273"/>
      <c r="K233" s="2274"/>
      <c r="L233" s="2131" t="str">
        <f>+S226</f>
        <v>0</v>
      </c>
      <c r="M233" s="2132"/>
      <c r="N233" s="21"/>
      <c r="O233" s="410"/>
      <c r="P233" s="1125">
        <f>B226+G226</f>
        <v>0</v>
      </c>
      <c r="Q233" s="585"/>
      <c r="R233" s="535"/>
      <c r="S233" s="535"/>
      <c r="T233" s="535"/>
      <c r="U233" s="535"/>
      <c r="V233" s="535"/>
      <c r="W233" s="535"/>
      <c r="X233" s="535"/>
      <c r="Y233" s="535"/>
      <c r="Z233" s="535"/>
      <c r="AA233" s="535"/>
      <c r="AB233" s="535"/>
      <c r="AC233" s="535"/>
      <c r="AD233" s="535"/>
      <c r="AE233" s="535"/>
      <c r="AF233" s="535"/>
      <c r="AG233" s="535"/>
      <c r="AH233" s="535"/>
      <c r="AI233" s="535"/>
      <c r="AJ233" s="535"/>
      <c r="AK233" s="535"/>
      <c r="AL233" s="535"/>
      <c r="AM233" s="535"/>
      <c r="AN233" s="535"/>
      <c r="AO233" s="535"/>
      <c r="AP233" s="535"/>
      <c r="AQ233" s="535"/>
      <c r="AR233" s="535"/>
      <c r="AS233" s="535"/>
      <c r="AT233" s="535"/>
      <c r="AU233" s="535"/>
      <c r="AV233" s="535"/>
      <c r="AW233" s="535"/>
      <c r="AX233" s="535"/>
      <c r="AY233" s="535"/>
      <c r="AZ233" s="535"/>
      <c r="BA233" s="535"/>
      <c r="BB233" s="535"/>
      <c r="BC233" s="535"/>
      <c r="BD233" s="535"/>
      <c r="BE233" s="535"/>
      <c r="BF233" s="535"/>
      <c r="BG233" s="535"/>
      <c r="BH233" s="535"/>
      <c r="BI233" s="535"/>
      <c r="BJ233" s="535"/>
      <c r="BK233" s="535"/>
      <c r="BL233" s="535"/>
      <c r="BM233" s="535"/>
      <c r="BN233" s="535"/>
      <c r="BO233" s="535"/>
      <c r="BP233" s="535"/>
      <c r="BQ233" s="535"/>
      <c r="BR233" s="535"/>
      <c r="BS233" s="535"/>
      <c r="BT233" s="535"/>
      <c r="BU233" s="535"/>
      <c r="BV233" s="535"/>
      <c r="BW233" s="535"/>
      <c r="CH233" s="582"/>
      <c r="CI233" s="577"/>
      <c r="CJ233" s="410"/>
      <c r="CK233" s="410"/>
      <c r="CL233" s="410"/>
      <c r="CM233" s="410"/>
      <c r="CN233" s="410"/>
      <c r="CO233" s="410"/>
      <c r="CP233" s="410"/>
      <c r="CQ233" s="410"/>
      <c r="CR233" s="410"/>
      <c r="CS233" s="410"/>
      <c r="CT233" s="410"/>
      <c r="CU233" s="410"/>
      <c r="CV233" s="410"/>
      <c r="CW233" s="410"/>
      <c r="CX233" s="410"/>
      <c r="CY233" s="410"/>
      <c r="CZ233" s="410"/>
      <c r="DA233" s="410"/>
      <c r="DB233" s="410"/>
      <c r="DC233" s="410"/>
      <c r="DD233" s="410"/>
      <c r="DE233" s="410"/>
      <c r="DF233" s="410"/>
      <c r="DG233" s="410"/>
      <c r="DH233" s="410"/>
      <c r="DI233" s="410"/>
      <c r="DJ233" s="410"/>
    </row>
    <row r="234" spans="1:114" s="456" customFormat="1" ht="15.75" customHeight="1" x14ac:dyDescent="0.2">
      <c r="A234" s="1516" t="s">
        <v>858</v>
      </c>
      <c r="B234" s="401"/>
      <c r="C234" s="401"/>
      <c r="D234" s="401"/>
      <c r="E234" s="341"/>
      <c r="F234" s="341"/>
      <c r="G234" s="341"/>
      <c r="H234" s="341"/>
      <c r="I234" s="341"/>
      <c r="J234" s="1900">
        <f>IF(P233=0,0,P233)</f>
        <v>0</v>
      </c>
      <c r="K234" s="1901"/>
      <c r="L234" s="2263">
        <f>+T226</f>
        <v>0</v>
      </c>
      <c r="M234" s="1901"/>
      <c r="N234" s="21"/>
      <c r="O234" s="410"/>
      <c r="P234" s="535"/>
      <c r="Q234" s="585"/>
      <c r="R234" s="535"/>
      <c r="S234" s="535"/>
      <c r="T234" s="535"/>
      <c r="U234" s="535"/>
      <c r="V234" s="535"/>
      <c r="W234" s="535"/>
      <c r="X234" s="535"/>
      <c r="Y234" s="535"/>
      <c r="Z234" s="535"/>
      <c r="AA234" s="535"/>
      <c r="AB234" s="535"/>
      <c r="AC234" s="535"/>
      <c r="AD234" s="535"/>
      <c r="AE234" s="535"/>
      <c r="AF234" s="535"/>
      <c r="AG234" s="535"/>
      <c r="AH234" s="535"/>
      <c r="AI234" s="535"/>
      <c r="AJ234" s="535"/>
      <c r="AK234" s="535"/>
      <c r="AL234" s="535"/>
      <c r="AM234" s="535"/>
      <c r="AN234" s="535"/>
      <c r="AO234" s="535"/>
      <c r="AP234" s="535"/>
      <c r="AQ234" s="535"/>
      <c r="AR234" s="535"/>
      <c r="AS234" s="535"/>
      <c r="AT234" s="535"/>
      <c r="AU234" s="535"/>
      <c r="AV234" s="535"/>
      <c r="AW234" s="535"/>
      <c r="AX234" s="535"/>
      <c r="AY234" s="535"/>
      <c r="AZ234" s="535"/>
      <c r="BA234" s="535"/>
      <c r="BB234" s="535"/>
      <c r="BC234" s="535"/>
      <c r="BD234" s="535"/>
      <c r="BE234" s="535"/>
      <c r="BF234" s="535"/>
      <c r="BG234" s="535"/>
      <c r="BH234" s="535"/>
      <c r="BI234" s="535"/>
      <c r="BJ234" s="535"/>
      <c r="BK234" s="535"/>
      <c r="BL234" s="535"/>
      <c r="BM234" s="535"/>
      <c r="BN234" s="535"/>
      <c r="BO234" s="535"/>
      <c r="BP234" s="535"/>
      <c r="BQ234" s="535"/>
      <c r="BR234" s="535"/>
      <c r="BS234" s="535"/>
      <c r="BT234" s="535"/>
      <c r="BU234" s="535"/>
      <c r="BV234" s="535"/>
      <c r="BW234" s="535"/>
      <c r="CH234" s="547"/>
      <c r="CI234" s="564"/>
      <c r="CJ234" s="410"/>
      <c r="CK234" s="410"/>
      <c r="CL234" s="410"/>
      <c r="CM234" s="410"/>
      <c r="CN234" s="410"/>
      <c r="CO234" s="410"/>
      <c r="CP234" s="410"/>
      <c r="CQ234" s="410"/>
      <c r="CR234" s="410"/>
      <c r="CS234" s="410"/>
      <c r="CT234" s="410"/>
      <c r="CU234" s="410"/>
      <c r="CV234" s="410"/>
      <c r="CW234" s="410"/>
      <c r="CX234" s="410"/>
      <c r="CY234" s="410"/>
      <c r="CZ234" s="410"/>
      <c r="DA234" s="410"/>
      <c r="DB234" s="410"/>
      <c r="DC234" s="410"/>
      <c r="DD234" s="410"/>
      <c r="DE234" s="410"/>
      <c r="DF234" s="410"/>
      <c r="DG234" s="410"/>
      <c r="DH234" s="410"/>
      <c r="DI234" s="410"/>
      <c r="DJ234" s="410"/>
    </row>
    <row r="235" spans="1:114" s="456" customFormat="1" ht="26.25" customHeight="1" thickBot="1" x14ac:dyDescent="0.25">
      <c r="A235" s="1516" t="s">
        <v>1036</v>
      </c>
      <c r="B235" s="401"/>
      <c r="C235" s="401"/>
      <c r="D235" s="401"/>
      <c r="E235" s="341"/>
      <c r="F235" s="341"/>
      <c r="G235" s="341"/>
      <c r="H235" s="341"/>
      <c r="I235" s="341"/>
      <c r="J235" s="1900">
        <f>+F95</f>
        <v>0</v>
      </c>
      <c r="K235" s="1901"/>
      <c r="L235" s="2263">
        <f>+R88</f>
        <v>0</v>
      </c>
      <c r="M235" s="1901"/>
      <c r="N235" s="21"/>
      <c r="O235" s="410"/>
      <c r="P235" s="535"/>
      <c r="Q235" s="585"/>
      <c r="R235" s="535"/>
      <c r="S235" s="535"/>
      <c r="T235" s="535"/>
      <c r="U235" s="535"/>
      <c r="V235" s="535"/>
      <c r="W235" s="535"/>
      <c r="X235" s="535"/>
      <c r="Y235" s="535"/>
      <c r="Z235" s="535"/>
      <c r="AA235" s="535"/>
      <c r="AB235" s="535"/>
      <c r="AC235" s="535"/>
      <c r="AD235" s="535"/>
      <c r="AE235" s="535"/>
      <c r="AF235" s="535"/>
      <c r="AG235" s="535"/>
      <c r="AH235" s="535"/>
      <c r="AI235" s="535"/>
      <c r="AJ235" s="535"/>
      <c r="AK235" s="535"/>
      <c r="AL235" s="535"/>
      <c r="AM235" s="535"/>
      <c r="AN235" s="535"/>
      <c r="AO235" s="535"/>
      <c r="AP235" s="535"/>
      <c r="AQ235" s="535"/>
      <c r="AR235" s="535"/>
      <c r="AS235" s="535"/>
      <c r="AT235" s="535"/>
      <c r="AU235" s="535"/>
      <c r="AV235" s="535"/>
      <c r="AW235" s="535"/>
      <c r="AX235" s="535"/>
      <c r="AY235" s="535"/>
      <c r="AZ235" s="535"/>
      <c r="BA235" s="535"/>
      <c r="BB235" s="535"/>
      <c r="BC235" s="535"/>
      <c r="BD235" s="535"/>
      <c r="BE235" s="535"/>
      <c r="BF235" s="535"/>
      <c r="BG235" s="535"/>
      <c r="BH235" s="535"/>
      <c r="BI235" s="535"/>
      <c r="BJ235" s="535"/>
      <c r="BK235" s="535"/>
      <c r="BL235" s="535"/>
      <c r="BM235" s="535"/>
      <c r="BN235" s="535"/>
      <c r="BO235" s="535"/>
      <c r="BP235" s="535"/>
      <c r="BQ235" s="535"/>
      <c r="BR235" s="535"/>
      <c r="BS235" s="535"/>
      <c r="BT235" s="535"/>
      <c r="BU235" s="535"/>
      <c r="BV235" s="535"/>
      <c r="BW235" s="535"/>
      <c r="CH235" s="581"/>
      <c r="CI235" s="563">
        <f>SUM(CI68:CI234)</f>
        <v>0</v>
      </c>
      <c r="CJ235" s="410"/>
      <c r="CK235" s="410"/>
      <c r="CL235" s="410"/>
      <c r="CM235" s="410"/>
      <c r="CN235" s="410"/>
      <c r="CO235" s="410"/>
      <c r="CP235" s="410"/>
      <c r="CQ235" s="410"/>
      <c r="CR235" s="410"/>
      <c r="CS235" s="410"/>
      <c r="CT235" s="410"/>
      <c r="CU235" s="410"/>
      <c r="CV235" s="410"/>
      <c r="CW235" s="410"/>
      <c r="CX235" s="410"/>
      <c r="CY235" s="410"/>
      <c r="CZ235" s="410"/>
      <c r="DA235" s="410"/>
      <c r="DB235" s="410"/>
      <c r="DC235" s="410"/>
      <c r="DD235" s="410"/>
      <c r="DE235" s="410"/>
      <c r="DF235" s="410"/>
      <c r="DG235" s="410"/>
      <c r="DH235" s="410"/>
      <c r="DI235" s="410"/>
      <c r="DJ235" s="410"/>
    </row>
    <row r="236" spans="1:114" s="456" customFormat="1" ht="15.75" customHeight="1" thickBot="1" x14ac:dyDescent="0.25">
      <c r="A236" s="1546" t="s">
        <v>1037</v>
      </c>
      <c r="B236" s="1381"/>
      <c r="C236" s="1381"/>
      <c r="D236" s="1381"/>
      <c r="E236" s="1382"/>
      <c r="F236" s="1382"/>
      <c r="G236" s="1382"/>
      <c r="H236" s="1382"/>
      <c r="I236" s="1382"/>
      <c r="J236" s="2262">
        <f>+J235+J234</f>
        <v>0</v>
      </c>
      <c r="K236" s="2185"/>
      <c r="L236" s="2184">
        <f>+L235+L234</f>
        <v>0</v>
      </c>
      <c r="M236" s="2185"/>
      <c r="N236" s="21"/>
      <c r="O236" s="410"/>
      <c r="P236" s="535"/>
      <c r="Q236" s="585"/>
      <c r="R236" s="535"/>
      <c r="S236" s="535"/>
      <c r="T236" s="535"/>
      <c r="U236" s="535"/>
      <c r="V236" s="535"/>
      <c r="W236" s="535"/>
      <c r="X236" s="535"/>
      <c r="Y236" s="535"/>
      <c r="Z236" s="535"/>
      <c r="AA236" s="535"/>
      <c r="AB236" s="535"/>
      <c r="AC236" s="535"/>
      <c r="AD236" s="535"/>
      <c r="AE236" s="535"/>
      <c r="AF236" s="535"/>
      <c r="AG236" s="535"/>
      <c r="AH236" s="535"/>
      <c r="AI236" s="535"/>
      <c r="AJ236" s="535"/>
      <c r="AK236" s="535"/>
      <c r="AL236" s="535"/>
      <c r="AM236" s="535"/>
      <c r="AN236" s="535"/>
      <c r="AO236" s="535"/>
      <c r="AP236" s="535"/>
      <c r="AQ236" s="535"/>
      <c r="AR236" s="535"/>
      <c r="AS236" s="535"/>
      <c r="AT236" s="535"/>
      <c r="AU236" s="535"/>
      <c r="AV236" s="535"/>
      <c r="AW236" s="535"/>
      <c r="AX236" s="535"/>
      <c r="AY236" s="535"/>
      <c r="AZ236" s="535"/>
      <c r="BA236" s="535"/>
      <c r="BB236" s="535"/>
      <c r="BC236" s="535"/>
      <c r="BD236" s="535"/>
      <c r="BE236" s="535"/>
      <c r="BF236" s="535"/>
      <c r="BG236" s="535"/>
      <c r="BH236" s="535"/>
      <c r="BI236" s="535"/>
      <c r="BJ236" s="535"/>
      <c r="BK236" s="535"/>
      <c r="BL236" s="535"/>
      <c r="BM236" s="535"/>
      <c r="BN236" s="535"/>
      <c r="BO236" s="535"/>
      <c r="BP236" s="535"/>
      <c r="BQ236" s="535"/>
      <c r="BR236" s="535"/>
      <c r="BS236" s="535"/>
      <c r="BT236" s="535"/>
      <c r="BU236" s="535"/>
      <c r="BV236" s="535"/>
      <c r="BW236" s="535"/>
      <c r="CH236" s="584"/>
      <c r="CI236" s="642">
        <f>IF(CI235=0,0,CI235/(R88+T226))</f>
        <v>0</v>
      </c>
      <c r="CJ236" s="410"/>
      <c r="CK236" s="410"/>
      <c r="CL236" s="410"/>
      <c r="CM236" s="410"/>
      <c r="CN236" s="410"/>
      <c r="CO236" s="410"/>
      <c r="CP236" s="410"/>
      <c r="CQ236" s="410"/>
      <c r="CR236" s="410"/>
      <c r="CS236" s="410"/>
      <c r="CT236" s="410"/>
      <c r="CU236" s="410"/>
      <c r="CV236" s="410"/>
      <c r="CW236" s="410"/>
      <c r="CX236" s="410"/>
      <c r="CY236" s="410"/>
      <c r="CZ236" s="410"/>
      <c r="DA236" s="410"/>
      <c r="DB236" s="410"/>
      <c r="DC236" s="410"/>
      <c r="DD236" s="410"/>
      <c r="DE236" s="410"/>
      <c r="DF236" s="410"/>
      <c r="DG236" s="410"/>
      <c r="DH236" s="410"/>
      <c r="DI236" s="410"/>
      <c r="DJ236" s="410"/>
    </row>
    <row r="237" spans="1:114" s="412" customFormat="1" ht="15.75" customHeight="1" x14ac:dyDescent="0.2">
      <c r="A237" s="401"/>
      <c r="B237" s="33"/>
      <c r="C237" s="33"/>
      <c r="D237" s="33"/>
      <c r="E237" s="402"/>
      <c r="F237" s="402"/>
      <c r="G237" s="402"/>
      <c r="H237" s="402"/>
      <c r="I237" s="402"/>
      <c r="J237" s="342"/>
      <c r="K237" s="342"/>
      <c r="L237" s="342"/>
      <c r="M237" s="342"/>
      <c r="N237" s="21"/>
      <c r="O237" s="410"/>
      <c r="P237" s="535"/>
      <c r="Q237" s="585"/>
      <c r="R237" s="535"/>
      <c r="S237" s="535"/>
      <c r="T237" s="535"/>
      <c r="U237" s="535"/>
      <c r="V237" s="535"/>
      <c r="W237" s="535"/>
      <c r="X237" s="535"/>
      <c r="Y237" s="535"/>
      <c r="Z237" s="535"/>
      <c r="AA237" s="535"/>
      <c r="AB237" s="535"/>
      <c r="AC237" s="535"/>
      <c r="AD237" s="535"/>
      <c r="AE237" s="535"/>
      <c r="AF237" s="535"/>
      <c r="AG237" s="535"/>
      <c r="AH237" s="535"/>
      <c r="AI237" s="535"/>
      <c r="AJ237" s="535"/>
      <c r="AK237" s="535"/>
      <c r="AL237" s="535"/>
      <c r="AM237" s="535"/>
      <c r="AN237" s="535"/>
      <c r="AO237" s="535"/>
      <c r="AP237" s="535"/>
      <c r="AQ237" s="535"/>
      <c r="AR237" s="535"/>
      <c r="AS237" s="535"/>
      <c r="AT237" s="535"/>
      <c r="AU237" s="535"/>
      <c r="AV237" s="535"/>
      <c r="AW237" s="535"/>
      <c r="AX237" s="535"/>
      <c r="AY237" s="535"/>
      <c r="AZ237" s="535"/>
      <c r="BA237" s="535"/>
      <c r="BB237" s="535"/>
      <c r="BC237" s="535"/>
      <c r="BD237" s="535"/>
      <c r="BE237" s="535"/>
      <c r="BF237" s="535"/>
      <c r="BG237" s="535"/>
      <c r="BH237" s="535"/>
      <c r="BI237" s="535"/>
      <c r="BJ237" s="535"/>
      <c r="BK237" s="535"/>
      <c r="BL237" s="535"/>
      <c r="BM237" s="535"/>
      <c r="BN237" s="535"/>
      <c r="BO237" s="535"/>
      <c r="BP237" s="535"/>
      <c r="BQ237" s="535"/>
      <c r="BR237" s="535"/>
      <c r="BS237" s="535"/>
      <c r="BT237" s="535"/>
      <c r="BU237" s="535"/>
      <c r="BV237" s="535"/>
      <c r="BW237" s="535"/>
      <c r="BX237" s="535"/>
      <c r="BY237" s="535"/>
      <c r="BZ237" s="535"/>
      <c r="CA237" s="535"/>
      <c r="CB237" s="535"/>
      <c r="CC237" s="535"/>
      <c r="CD237" s="535"/>
      <c r="CE237" s="535"/>
      <c r="CF237" s="535"/>
      <c r="CG237" s="410"/>
      <c r="CH237" s="410"/>
      <c r="CI237" s="410"/>
      <c r="CJ237" s="410"/>
      <c r="CK237" s="410"/>
      <c r="CL237" s="410"/>
      <c r="CM237" s="410"/>
      <c r="CN237" s="410"/>
      <c r="CO237" s="410"/>
    </row>
    <row r="238" spans="1:114" s="412" customFormat="1" ht="15.75" customHeight="1" x14ac:dyDescent="0.2">
      <c r="A238" s="401"/>
      <c r="B238" s="33"/>
      <c r="C238" s="33"/>
      <c r="D238" s="33"/>
      <c r="E238" s="402"/>
      <c r="F238" s="402"/>
      <c r="G238" s="402"/>
      <c r="H238" s="402"/>
      <c r="I238" s="402"/>
      <c r="J238" s="342"/>
      <c r="K238" s="342"/>
      <c r="L238" s="342"/>
      <c r="M238" s="342"/>
      <c r="N238" s="21"/>
      <c r="O238" s="410"/>
      <c r="P238" s="535"/>
      <c r="Q238" s="585"/>
      <c r="R238" s="535"/>
      <c r="S238" s="535"/>
      <c r="T238" s="535"/>
      <c r="U238" s="535"/>
      <c r="V238" s="535"/>
      <c r="W238" s="535"/>
      <c r="X238" s="535"/>
      <c r="Y238" s="535"/>
      <c r="Z238" s="535"/>
      <c r="AA238" s="535"/>
      <c r="AB238" s="535"/>
      <c r="AC238" s="535"/>
      <c r="AD238" s="535"/>
      <c r="AE238" s="535"/>
      <c r="AF238" s="535"/>
      <c r="AG238" s="535"/>
      <c r="AH238" s="535"/>
      <c r="AI238" s="535"/>
      <c r="AJ238" s="535"/>
      <c r="AK238" s="535"/>
      <c r="AL238" s="535"/>
      <c r="AM238" s="535"/>
      <c r="AN238" s="535"/>
      <c r="AO238" s="535"/>
      <c r="AP238" s="535"/>
      <c r="AQ238" s="535"/>
      <c r="AR238" s="535"/>
      <c r="AS238" s="535"/>
      <c r="AT238" s="535"/>
      <c r="AU238" s="535"/>
      <c r="AV238" s="535"/>
      <c r="AW238" s="535"/>
      <c r="AX238" s="535"/>
      <c r="AY238" s="535"/>
      <c r="AZ238" s="535"/>
      <c r="BA238" s="535"/>
      <c r="BB238" s="535"/>
      <c r="BC238" s="535"/>
      <c r="BD238" s="535"/>
      <c r="BE238" s="535"/>
      <c r="BF238" s="535"/>
      <c r="BG238" s="535"/>
      <c r="BH238" s="535"/>
      <c r="BI238" s="535"/>
      <c r="BJ238" s="535"/>
      <c r="BK238" s="535"/>
      <c r="BL238" s="535"/>
      <c r="BM238" s="535"/>
      <c r="BN238" s="535"/>
      <c r="BO238" s="535"/>
      <c r="BP238" s="535"/>
      <c r="BQ238" s="535"/>
      <c r="BR238" s="535"/>
      <c r="BS238" s="535"/>
      <c r="BT238" s="535"/>
      <c r="BU238" s="535"/>
      <c r="BV238" s="535"/>
      <c r="BW238" s="535"/>
      <c r="BX238" s="535"/>
      <c r="BY238" s="535"/>
      <c r="BZ238" s="535"/>
      <c r="CA238" s="535"/>
      <c r="CB238" s="535"/>
      <c r="CC238" s="535"/>
      <c r="CD238" s="535"/>
      <c r="CE238" s="535"/>
      <c r="CF238" s="535"/>
      <c r="CG238" s="410"/>
      <c r="CH238" s="410"/>
      <c r="CI238" s="410"/>
      <c r="CJ238" s="410"/>
      <c r="CK238" s="410"/>
      <c r="CL238" s="410"/>
      <c r="CM238" s="410"/>
      <c r="CN238" s="410"/>
      <c r="CO238" s="410"/>
    </row>
    <row r="239" spans="1:114" s="412" customFormat="1" ht="15.75" customHeight="1" x14ac:dyDescent="0.2">
      <c r="A239" s="401"/>
      <c r="B239" s="33"/>
      <c r="C239" s="33"/>
      <c r="D239" s="33"/>
      <c r="E239" s="402"/>
      <c r="F239" s="402"/>
      <c r="G239" s="402"/>
      <c r="H239" s="402"/>
      <c r="I239" s="402"/>
      <c r="J239" s="342"/>
      <c r="K239" s="342"/>
      <c r="L239" s="342"/>
      <c r="M239" s="342"/>
      <c r="N239" s="21"/>
      <c r="O239" s="410"/>
      <c r="P239" s="535"/>
      <c r="Q239" s="585"/>
      <c r="R239" s="535"/>
      <c r="S239" s="535"/>
      <c r="T239" s="535"/>
      <c r="U239" s="535"/>
      <c r="V239" s="535"/>
      <c r="W239" s="535"/>
      <c r="X239" s="535"/>
      <c r="Y239" s="535"/>
      <c r="Z239" s="535"/>
      <c r="AA239" s="535"/>
      <c r="AB239" s="535"/>
      <c r="AC239" s="535"/>
      <c r="AD239" s="535"/>
      <c r="AE239" s="535"/>
      <c r="AF239" s="535"/>
      <c r="AG239" s="535"/>
      <c r="AH239" s="535"/>
      <c r="AI239" s="535"/>
      <c r="AJ239" s="535"/>
      <c r="AK239" s="535"/>
      <c r="AL239" s="535"/>
      <c r="AM239" s="535"/>
      <c r="AN239" s="535"/>
      <c r="AO239" s="535"/>
      <c r="AP239" s="535"/>
      <c r="AQ239" s="535"/>
      <c r="AR239" s="535"/>
      <c r="AS239" s="535"/>
      <c r="AT239" s="535"/>
      <c r="AU239" s="535"/>
      <c r="AV239" s="535"/>
      <c r="AW239" s="535"/>
      <c r="AX239" s="535"/>
      <c r="AY239" s="535"/>
      <c r="AZ239" s="535"/>
      <c r="BA239" s="535"/>
      <c r="BB239" s="535"/>
      <c r="BC239" s="535"/>
      <c r="BD239" s="535"/>
      <c r="BE239" s="535"/>
      <c r="BF239" s="535"/>
      <c r="BG239" s="535"/>
      <c r="BH239" s="535"/>
      <c r="BI239" s="535"/>
      <c r="BJ239" s="535"/>
      <c r="BK239" s="535"/>
      <c r="BL239" s="535"/>
      <c r="BM239" s="535"/>
      <c r="BN239" s="535"/>
      <c r="BO239" s="535"/>
      <c r="BP239" s="535"/>
      <c r="BQ239" s="535"/>
      <c r="BR239" s="535"/>
      <c r="BS239" s="535"/>
      <c r="BT239" s="535"/>
      <c r="BU239" s="535"/>
      <c r="BV239" s="535"/>
      <c r="BW239" s="535"/>
      <c r="BX239" s="535"/>
      <c r="BY239" s="535"/>
      <c r="BZ239" s="535"/>
      <c r="CA239" s="535"/>
      <c r="CB239" s="535"/>
      <c r="CC239" s="535"/>
      <c r="CD239" s="535"/>
      <c r="CE239" s="535"/>
      <c r="CF239" s="535"/>
      <c r="CG239" s="410"/>
      <c r="CH239" s="410"/>
      <c r="CI239" s="410"/>
      <c r="CJ239" s="410"/>
      <c r="CK239" s="410"/>
      <c r="CL239" s="410"/>
      <c r="CM239" s="410"/>
      <c r="CN239" s="410"/>
      <c r="CO239" s="410"/>
    </row>
    <row r="240" spans="1:114" s="412" customFormat="1" ht="15.75" customHeight="1" x14ac:dyDescent="0.2">
      <c r="A240" s="401"/>
      <c r="B240" s="33"/>
      <c r="C240" s="33"/>
      <c r="D240" s="33"/>
      <c r="E240" s="402"/>
      <c r="F240" s="402"/>
      <c r="G240" s="402"/>
      <c r="H240" s="402"/>
      <c r="I240" s="402"/>
      <c r="J240" s="342"/>
      <c r="K240" s="342"/>
      <c r="L240" s="342"/>
      <c r="M240" s="342"/>
      <c r="N240" s="21"/>
      <c r="O240" s="410"/>
      <c r="P240" s="535"/>
      <c r="Q240" s="585"/>
      <c r="R240" s="535"/>
      <c r="S240" s="535"/>
      <c r="T240" s="535"/>
      <c r="U240" s="535"/>
      <c r="V240" s="535"/>
      <c r="W240" s="535"/>
      <c r="X240" s="535"/>
      <c r="Y240" s="535"/>
      <c r="Z240" s="535"/>
      <c r="AA240" s="535"/>
      <c r="AB240" s="535"/>
      <c r="AC240" s="535"/>
      <c r="AD240" s="535"/>
      <c r="AE240" s="535"/>
      <c r="AF240" s="535"/>
      <c r="AG240" s="535"/>
      <c r="AH240" s="535"/>
      <c r="AI240" s="535"/>
      <c r="AJ240" s="535"/>
      <c r="AK240" s="535"/>
      <c r="AL240" s="535"/>
      <c r="AM240" s="535"/>
      <c r="AN240" s="535"/>
      <c r="AO240" s="535"/>
      <c r="AP240" s="535"/>
      <c r="AQ240" s="535"/>
      <c r="AR240" s="535"/>
      <c r="AS240" s="535"/>
      <c r="AT240" s="535"/>
      <c r="AU240" s="535"/>
      <c r="AV240" s="535"/>
      <c r="AW240" s="535"/>
      <c r="AX240" s="535"/>
      <c r="AY240" s="535"/>
      <c r="AZ240" s="535"/>
      <c r="BA240" s="535"/>
      <c r="BB240" s="535"/>
      <c r="BC240" s="535"/>
      <c r="BD240" s="535"/>
      <c r="BE240" s="535"/>
      <c r="BF240" s="535"/>
      <c r="BG240" s="535"/>
      <c r="BH240" s="535"/>
      <c r="BI240" s="535"/>
      <c r="BJ240" s="535"/>
      <c r="BK240" s="535"/>
      <c r="BL240" s="535"/>
      <c r="BM240" s="535"/>
      <c r="BN240" s="535"/>
      <c r="BO240" s="535"/>
      <c r="BP240" s="535"/>
      <c r="BQ240" s="535"/>
      <c r="BR240" s="535"/>
      <c r="BS240" s="535"/>
      <c r="BT240" s="535"/>
      <c r="BU240" s="535"/>
      <c r="BV240" s="535"/>
      <c r="BW240" s="535"/>
      <c r="BX240" s="535"/>
      <c r="BY240" s="535"/>
      <c r="BZ240" s="535"/>
      <c r="CA240" s="535"/>
      <c r="CB240" s="535"/>
      <c r="CC240" s="535"/>
      <c r="CD240" s="535"/>
      <c r="CE240" s="535"/>
      <c r="CF240" s="535"/>
      <c r="CG240" s="410"/>
      <c r="CH240" s="410"/>
      <c r="CI240" s="410"/>
      <c r="CJ240" s="410"/>
      <c r="CK240" s="410"/>
      <c r="CL240" s="410"/>
      <c r="CM240" s="410"/>
      <c r="CN240" s="410"/>
      <c r="CO240" s="410"/>
    </row>
    <row r="241" spans="1:93" s="412" customFormat="1" ht="15.75" customHeight="1" x14ac:dyDescent="0.2">
      <c r="A241" s="401"/>
      <c r="B241" s="33"/>
      <c r="C241" s="33"/>
      <c r="D241" s="33"/>
      <c r="E241" s="402"/>
      <c r="F241" s="402"/>
      <c r="G241" s="402"/>
      <c r="H241" s="402"/>
      <c r="I241" s="402"/>
      <c r="J241" s="342"/>
      <c r="K241" s="342"/>
      <c r="L241" s="342"/>
      <c r="M241" s="342"/>
      <c r="N241" s="21"/>
      <c r="O241" s="410"/>
      <c r="P241" s="535"/>
      <c r="Q241" s="585"/>
      <c r="R241" s="535"/>
      <c r="S241" s="535"/>
      <c r="T241" s="535"/>
      <c r="U241" s="535"/>
      <c r="V241" s="535"/>
      <c r="W241" s="535"/>
      <c r="X241" s="535"/>
      <c r="Y241" s="535"/>
      <c r="Z241" s="535"/>
      <c r="AA241" s="535"/>
      <c r="AB241" s="535"/>
      <c r="AC241" s="535"/>
      <c r="AD241" s="535"/>
      <c r="AE241" s="535"/>
      <c r="AF241" s="535"/>
      <c r="AG241" s="535"/>
      <c r="AH241" s="535"/>
      <c r="AI241" s="535"/>
      <c r="AJ241" s="535"/>
      <c r="AK241" s="535"/>
      <c r="AL241" s="535"/>
      <c r="AM241" s="535"/>
      <c r="AN241" s="535"/>
      <c r="AO241" s="535"/>
      <c r="AP241" s="535"/>
      <c r="AQ241" s="535"/>
      <c r="AR241" s="535"/>
      <c r="AS241" s="535"/>
      <c r="AT241" s="535"/>
      <c r="AU241" s="535"/>
      <c r="AV241" s="535"/>
      <c r="AW241" s="535"/>
      <c r="AX241" s="535"/>
      <c r="AY241" s="535"/>
      <c r="AZ241" s="535"/>
      <c r="BA241" s="535"/>
      <c r="BB241" s="535"/>
      <c r="BC241" s="535"/>
      <c r="BD241" s="535"/>
      <c r="BE241" s="535"/>
      <c r="BF241" s="535"/>
      <c r="BG241" s="535"/>
      <c r="BH241" s="535"/>
      <c r="BI241" s="535"/>
      <c r="BJ241" s="535"/>
      <c r="BK241" s="535"/>
      <c r="BL241" s="535"/>
      <c r="BM241" s="535"/>
      <c r="BN241" s="535"/>
      <c r="BO241" s="535"/>
      <c r="BP241" s="535"/>
      <c r="BQ241" s="535"/>
      <c r="BR241" s="535"/>
      <c r="BS241" s="535"/>
      <c r="BT241" s="535"/>
      <c r="BU241" s="535"/>
      <c r="BV241" s="535"/>
      <c r="BW241" s="535"/>
      <c r="BX241" s="535"/>
      <c r="BY241" s="535"/>
      <c r="BZ241" s="535"/>
      <c r="CA241" s="535"/>
      <c r="CB241" s="535"/>
      <c r="CC241" s="535"/>
      <c r="CD241" s="535"/>
      <c r="CE241" s="535"/>
      <c r="CF241" s="535"/>
      <c r="CG241" s="410"/>
      <c r="CH241" s="410"/>
      <c r="CI241" s="410"/>
      <c r="CJ241" s="410"/>
      <c r="CK241" s="410"/>
      <c r="CL241" s="410"/>
      <c r="CM241" s="410"/>
      <c r="CN241" s="410"/>
      <c r="CO241" s="410"/>
    </row>
    <row r="242" spans="1:93" s="412" customFormat="1" ht="15.75" customHeight="1" x14ac:dyDescent="0.2">
      <c r="A242" s="401"/>
      <c r="B242" s="33"/>
      <c r="C242" s="33"/>
      <c r="D242" s="33"/>
      <c r="E242" s="402"/>
      <c r="F242" s="402"/>
      <c r="G242" s="402"/>
      <c r="H242" s="402"/>
      <c r="I242" s="402"/>
      <c r="J242" s="342"/>
      <c r="K242" s="342"/>
      <c r="L242" s="342"/>
      <c r="M242" s="342"/>
      <c r="N242" s="21"/>
      <c r="O242" s="410"/>
      <c r="P242" s="535"/>
      <c r="Q242" s="585"/>
      <c r="R242" s="535"/>
      <c r="S242" s="535"/>
      <c r="T242" s="535"/>
      <c r="U242" s="535"/>
      <c r="V242" s="535"/>
      <c r="W242" s="535"/>
      <c r="X242" s="535"/>
      <c r="Y242" s="535"/>
      <c r="Z242" s="535"/>
      <c r="AA242" s="535"/>
      <c r="AB242" s="535"/>
      <c r="AC242" s="535"/>
      <c r="AD242" s="535"/>
      <c r="AE242" s="535"/>
      <c r="AF242" s="535"/>
      <c r="AG242" s="535"/>
      <c r="AH242" s="535"/>
      <c r="AI242" s="535"/>
      <c r="AJ242" s="535"/>
      <c r="AK242" s="535"/>
      <c r="AL242" s="535"/>
      <c r="AM242" s="535"/>
      <c r="AN242" s="535"/>
      <c r="AO242" s="535"/>
      <c r="AP242" s="535"/>
      <c r="AQ242" s="535"/>
      <c r="AR242" s="535"/>
      <c r="AS242" s="535"/>
      <c r="AT242" s="535"/>
      <c r="AU242" s="535"/>
      <c r="AV242" s="535"/>
      <c r="AW242" s="535"/>
      <c r="AX242" s="535"/>
      <c r="AY242" s="535"/>
      <c r="AZ242" s="535"/>
      <c r="BA242" s="535"/>
      <c r="BB242" s="535"/>
      <c r="BC242" s="535"/>
      <c r="BD242" s="535"/>
      <c r="BE242" s="535"/>
      <c r="BF242" s="535"/>
      <c r="BG242" s="535"/>
      <c r="BH242" s="535"/>
      <c r="BI242" s="535"/>
      <c r="BJ242" s="535"/>
      <c r="BK242" s="535"/>
      <c r="BL242" s="535"/>
      <c r="BM242" s="535"/>
      <c r="BN242" s="535"/>
      <c r="BO242" s="535"/>
      <c r="BP242" s="535"/>
      <c r="BQ242" s="535"/>
      <c r="BR242" s="535"/>
      <c r="BS242" s="535"/>
      <c r="BT242" s="535"/>
      <c r="BU242" s="535"/>
      <c r="BV242" s="535"/>
      <c r="BW242" s="535"/>
      <c r="BX242" s="535"/>
      <c r="BY242" s="535"/>
      <c r="BZ242" s="535"/>
      <c r="CA242" s="535"/>
      <c r="CB242" s="535"/>
      <c r="CC242" s="535"/>
      <c r="CD242" s="535"/>
      <c r="CE242" s="535"/>
      <c r="CF242" s="535"/>
      <c r="CG242" s="410"/>
      <c r="CH242" s="410"/>
      <c r="CI242" s="410"/>
      <c r="CJ242" s="410"/>
      <c r="CK242" s="410"/>
      <c r="CL242" s="410"/>
      <c r="CM242" s="410"/>
      <c r="CN242" s="410"/>
      <c r="CO242" s="410"/>
    </row>
    <row r="243" spans="1:93" s="412" customFormat="1" ht="15.75" customHeight="1" x14ac:dyDescent="0.2">
      <c r="A243" s="401"/>
      <c r="B243" s="33"/>
      <c r="C243" s="33"/>
      <c r="D243" s="33"/>
      <c r="E243" s="402"/>
      <c r="F243" s="402"/>
      <c r="G243" s="402"/>
      <c r="H243" s="402"/>
      <c r="I243" s="402"/>
      <c r="J243" s="342"/>
      <c r="K243" s="342"/>
      <c r="L243" s="342"/>
      <c r="M243" s="342"/>
      <c r="N243" s="21"/>
      <c r="O243" s="410"/>
      <c r="P243" s="535"/>
      <c r="Q243" s="585"/>
      <c r="R243" s="535"/>
      <c r="S243" s="535"/>
      <c r="T243" s="535"/>
      <c r="U243" s="535"/>
      <c r="V243" s="535"/>
      <c r="W243" s="535"/>
      <c r="X243" s="535"/>
      <c r="Y243" s="535"/>
      <c r="Z243" s="535"/>
      <c r="AA243" s="535"/>
      <c r="AB243" s="535"/>
      <c r="AC243" s="535"/>
      <c r="AD243" s="535"/>
      <c r="AE243" s="535"/>
      <c r="AF243" s="535"/>
      <c r="AG243" s="535"/>
      <c r="AH243" s="535"/>
      <c r="AI243" s="535"/>
      <c r="AJ243" s="535"/>
      <c r="AK243" s="535"/>
      <c r="AL243" s="535"/>
      <c r="AM243" s="535"/>
      <c r="AN243" s="535"/>
      <c r="AO243" s="535"/>
      <c r="AP243" s="535"/>
      <c r="AQ243" s="535"/>
      <c r="AR243" s="535"/>
      <c r="AS243" s="535"/>
      <c r="AT243" s="535"/>
      <c r="AU243" s="535"/>
      <c r="AV243" s="535"/>
      <c r="AW243" s="535"/>
      <c r="AX243" s="535"/>
      <c r="AY243" s="535"/>
      <c r="AZ243" s="535"/>
      <c r="BA243" s="535"/>
      <c r="BB243" s="535"/>
      <c r="BC243" s="535"/>
      <c r="BD243" s="535"/>
      <c r="BE243" s="535"/>
      <c r="BF243" s="535"/>
      <c r="BG243" s="535"/>
      <c r="BH243" s="535"/>
      <c r="BI243" s="535"/>
      <c r="BJ243" s="535"/>
      <c r="BK243" s="535"/>
      <c r="BL243" s="535"/>
      <c r="BM243" s="535"/>
      <c r="BN243" s="535"/>
      <c r="BO243" s="535"/>
      <c r="BP243" s="535"/>
      <c r="BQ243" s="535"/>
      <c r="BR243" s="535"/>
      <c r="BS243" s="535"/>
      <c r="BT243" s="535"/>
      <c r="BU243" s="535"/>
      <c r="BV243" s="535"/>
      <c r="BW243" s="535"/>
      <c r="BX243" s="535"/>
      <c r="BY243" s="535"/>
      <c r="BZ243" s="535"/>
      <c r="CA243" s="535"/>
      <c r="CB243" s="535"/>
      <c r="CC243" s="535"/>
      <c r="CD243" s="535"/>
      <c r="CE243" s="535"/>
      <c r="CF243" s="535"/>
      <c r="CG243" s="410"/>
      <c r="CH243" s="410"/>
      <c r="CI243" s="410"/>
      <c r="CJ243" s="410"/>
      <c r="CK243" s="410"/>
      <c r="CL243" s="410"/>
      <c r="CM243" s="410"/>
      <c r="CN243" s="410"/>
      <c r="CO243" s="410"/>
    </row>
    <row r="244" spans="1:93" s="412" customFormat="1" ht="15.75" customHeight="1" x14ac:dyDescent="0.2">
      <c r="A244" s="401"/>
      <c r="B244" s="33"/>
      <c r="C244" s="33"/>
      <c r="D244" s="33"/>
      <c r="E244" s="402"/>
      <c r="F244" s="402"/>
      <c r="G244" s="402"/>
      <c r="H244" s="402"/>
      <c r="I244" s="402"/>
      <c r="J244" s="342"/>
      <c r="K244" s="342"/>
      <c r="L244" s="342"/>
      <c r="M244" s="342"/>
      <c r="N244" s="21"/>
      <c r="O244" s="410"/>
      <c r="P244" s="535"/>
      <c r="Q244" s="585"/>
      <c r="R244" s="535"/>
      <c r="S244" s="535"/>
      <c r="T244" s="535"/>
      <c r="U244" s="535"/>
      <c r="V244" s="535"/>
      <c r="W244" s="535"/>
      <c r="X244" s="535"/>
      <c r="Y244" s="535"/>
      <c r="Z244" s="535"/>
      <c r="AA244" s="535"/>
      <c r="AB244" s="535"/>
      <c r="AC244" s="535"/>
      <c r="AD244" s="535"/>
      <c r="AE244" s="535"/>
      <c r="AF244" s="535"/>
      <c r="AG244" s="535"/>
      <c r="AH244" s="535"/>
      <c r="AI244" s="535"/>
      <c r="AJ244" s="535"/>
      <c r="AK244" s="535"/>
      <c r="AL244" s="535"/>
      <c r="AM244" s="535"/>
      <c r="AN244" s="535"/>
      <c r="AO244" s="535"/>
      <c r="AP244" s="535"/>
      <c r="AQ244" s="535"/>
      <c r="AR244" s="535"/>
      <c r="AS244" s="535"/>
      <c r="AT244" s="535"/>
      <c r="AU244" s="535"/>
      <c r="AV244" s="535"/>
      <c r="AW244" s="535"/>
      <c r="AX244" s="535"/>
      <c r="AY244" s="535"/>
      <c r="AZ244" s="535"/>
      <c r="BA244" s="535"/>
      <c r="BB244" s="535"/>
      <c r="BC244" s="535"/>
      <c r="BD244" s="535"/>
      <c r="BE244" s="535"/>
      <c r="BF244" s="535"/>
      <c r="BG244" s="535"/>
      <c r="BH244" s="535"/>
      <c r="BI244" s="535"/>
      <c r="BJ244" s="535"/>
      <c r="BK244" s="535"/>
      <c r="BL244" s="535"/>
      <c r="BM244" s="535"/>
      <c r="BN244" s="535"/>
      <c r="BO244" s="535"/>
      <c r="BP244" s="535"/>
      <c r="BQ244" s="535"/>
      <c r="BR244" s="535"/>
      <c r="BS244" s="535"/>
      <c r="BT244" s="535"/>
      <c r="BU244" s="535"/>
      <c r="BV244" s="535"/>
      <c r="BW244" s="535"/>
      <c r="BX244" s="535"/>
      <c r="BY244" s="535"/>
      <c r="BZ244" s="535"/>
      <c r="CA244" s="535"/>
      <c r="CB244" s="535"/>
      <c r="CC244" s="535"/>
      <c r="CD244" s="535"/>
      <c r="CE244" s="535"/>
      <c r="CF244" s="535"/>
      <c r="CG244" s="410"/>
      <c r="CH244" s="410"/>
      <c r="CI244" s="410"/>
      <c r="CJ244" s="410"/>
      <c r="CK244" s="410"/>
      <c r="CL244" s="410"/>
      <c r="CM244" s="410"/>
      <c r="CN244" s="410"/>
      <c r="CO244" s="410"/>
    </row>
    <row r="245" spans="1:93" s="412" customFormat="1" ht="15.75" customHeight="1" x14ac:dyDescent="0.2">
      <c r="A245" s="401"/>
      <c r="B245" s="33"/>
      <c r="C245" s="33"/>
      <c r="D245" s="33"/>
      <c r="E245" s="402"/>
      <c r="F245" s="402"/>
      <c r="G245" s="402"/>
      <c r="H245" s="402"/>
      <c r="I245" s="402"/>
      <c r="J245" s="342"/>
      <c r="K245" s="342"/>
      <c r="L245" s="342"/>
      <c r="M245" s="342"/>
      <c r="N245" s="21"/>
      <c r="O245" s="410"/>
      <c r="P245" s="535"/>
      <c r="Q245" s="585"/>
      <c r="R245" s="535"/>
      <c r="S245" s="535"/>
      <c r="T245" s="535"/>
      <c r="U245" s="535"/>
      <c r="V245" s="535"/>
      <c r="W245" s="535"/>
      <c r="X245" s="535"/>
      <c r="Y245" s="535"/>
      <c r="Z245" s="535"/>
      <c r="AA245" s="535"/>
      <c r="AB245" s="535"/>
      <c r="AC245" s="535"/>
      <c r="AD245" s="535"/>
      <c r="AE245" s="535"/>
      <c r="AF245" s="535"/>
      <c r="AG245" s="535"/>
      <c r="AH245" s="535"/>
      <c r="AI245" s="535"/>
      <c r="AJ245" s="535"/>
      <c r="AK245" s="535"/>
      <c r="AL245" s="535"/>
      <c r="AM245" s="535"/>
      <c r="AN245" s="535"/>
      <c r="AO245" s="535"/>
      <c r="AP245" s="535"/>
      <c r="AQ245" s="535"/>
      <c r="AR245" s="535"/>
      <c r="AS245" s="535"/>
      <c r="AT245" s="535"/>
      <c r="AU245" s="535"/>
      <c r="AV245" s="535"/>
      <c r="AW245" s="535"/>
      <c r="AX245" s="535"/>
      <c r="AY245" s="535"/>
      <c r="AZ245" s="535"/>
      <c r="BA245" s="535"/>
      <c r="BB245" s="535"/>
      <c r="BC245" s="535"/>
      <c r="BD245" s="535"/>
      <c r="BE245" s="535"/>
      <c r="BF245" s="535"/>
      <c r="BG245" s="535"/>
      <c r="BH245" s="535"/>
      <c r="BI245" s="535"/>
      <c r="BJ245" s="535"/>
      <c r="BK245" s="535"/>
      <c r="BL245" s="535"/>
      <c r="BM245" s="535"/>
      <c r="BN245" s="535"/>
      <c r="BO245" s="535"/>
      <c r="BP245" s="535"/>
      <c r="BQ245" s="535"/>
      <c r="BR245" s="535"/>
      <c r="BS245" s="535"/>
      <c r="BT245" s="535"/>
      <c r="BU245" s="535"/>
      <c r="BV245" s="535"/>
      <c r="BW245" s="535"/>
      <c r="BX245" s="535"/>
      <c r="BY245" s="535"/>
      <c r="BZ245" s="535"/>
      <c r="CA245" s="535"/>
      <c r="CB245" s="535"/>
      <c r="CC245" s="535"/>
      <c r="CD245" s="535"/>
      <c r="CE245" s="535"/>
      <c r="CF245" s="535"/>
      <c r="CG245" s="410"/>
      <c r="CH245" s="410"/>
      <c r="CI245" s="410"/>
      <c r="CJ245" s="410"/>
      <c r="CK245" s="410"/>
      <c r="CL245" s="410"/>
      <c r="CM245" s="410"/>
      <c r="CN245" s="410"/>
      <c r="CO245" s="410"/>
    </row>
    <row r="246" spans="1:93" s="412" customFormat="1" ht="24" customHeight="1" x14ac:dyDescent="0.2">
      <c r="A246" s="24"/>
      <c r="B246" s="24"/>
      <c r="C246" s="24"/>
      <c r="D246" s="24"/>
      <c r="E246" s="24"/>
      <c r="F246" s="24"/>
      <c r="G246" s="24"/>
      <c r="H246" s="24"/>
      <c r="I246" s="24"/>
      <c r="J246" s="24"/>
      <c r="K246" s="24"/>
      <c r="L246" s="21"/>
      <c r="M246" s="21"/>
      <c r="N246" s="21"/>
      <c r="O246" s="410"/>
      <c r="P246" s="535"/>
      <c r="Q246" s="535"/>
      <c r="R246" s="535"/>
      <c r="S246" s="535"/>
      <c r="T246" s="535"/>
      <c r="U246" s="535"/>
      <c r="V246" s="535"/>
      <c r="W246" s="535"/>
      <c r="X246" s="535"/>
      <c r="Y246" s="535"/>
      <c r="Z246" s="535"/>
      <c r="AA246" s="535"/>
      <c r="AB246" s="535"/>
      <c r="AC246" s="535"/>
      <c r="AD246" s="535"/>
      <c r="AE246" s="535"/>
      <c r="AF246" s="535"/>
      <c r="AG246" s="535"/>
      <c r="AH246" s="535"/>
      <c r="AI246" s="535"/>
      <c r="AJ246" s="535"/>
      <c r="AK246" s="535"/>
      <c r="AL246" s="535"/>
      <c r="AM246" s="535"/>
      <c r="AN246" s="535"/>
      <c r="AO246" s="535"/>
      <c r="AP246" s="535"/>
      <c r="AQ246" s="535"/>
      <c r="AR246" s="535"/>
      <c r="AS246" s="535"/>
      <c r="AT246" s="535"/>
      <c r="AU246" s="535"/>
      <c r="AV246" s="535"/>
      <c r="AW246" s="535"/>
      <c r="AX246" s="535"/>
      <c r="AY246" s="535"/>
      <c r="AZ246" s="535"/>
      <c r="BA246" s="535"/>
      <c r="BB246" s="535"/>
      <c r="BC246" s="535"/>
      <c r="BD246" s="535"/>
      <c r="BE246" s="535"/>
      <c r="BF246" s="535"/>
      <c r="BG246" s="535"/>
      <c r="BH246" s="535"/>
      <c r="BI246" s="535"/>
      <c r="BJ246" s="535"/>
      <c r="BK246" s="535"/>
      <c r="BL246" s="535"/>
      <c r="BM246" s="535"/>
      <c r="BN246" s="535"/>
      <c r="BO246" s="535"/>
      <c r="BP246" s="535"/>
      <c r="BQ246" s="535"/>
      <c r="BR246" s="535"/>
      <c r="BS246" s="535"/>
      <c r="BT246" s="535"/>
      <c r="BU246" s="535"/>
      <c r="BV246" s="535"/>
      <c r="BW246" s="535"/>
      <c r="BX246" s="535"/>
      <c r="BY246" s="535"/>
      <c r="BZ246" s="535"/>
      <c r="CA246" s="535"/>
      <c r="CB246" s="535"/>
      <c r="CC246" s="535"/>
      <c r="CD246" s="535"/>
      <c r="CE246" s="535"/>
      <c r="CF246" s="535"/>
      <c r="CG246" s="410"/>
      <c r="CH246" s="410"/>
      <c r="CI246" s="410"/>
      <c r="CJ246" s="410"/>
      <c r="CK246" s="410"/>
      <c r="CL246" s="410"/>
      <c r="CM246" s="410"/>
      <c r="CN246" s="410"/>
      <c r="CO246" s="410"/>
    </row>
    <row r="247" spans="1:93" s="412" customFormat="1" ht="14.25" customHeight="1" x14ac:dyDescent="0.2">
      <c r="A247" s="24"/>
      <c r="B247" s="24"/>
      <c r="C247" s="24"/>
      <c r="D247" s="24"/>
      <c r="E247" s="24"/>
      <c r="F247" s="24"/>
      <c r="G247" s="24"/>
      <c r="H247" s="24"/>
      <c r="I247" s="24"/>
      <c r="J247" s="24"/>
      <c r="K247" s="24"/>
      <c r="L247" s="21"/>
      <c r="M247" s="21"/>
      <c r="N247" s="21"/>
      <c r="O247" s="410"/>
      <c r="P247" s="535"/>
      <c r="Q247" s="535"/>
      <c r="R247" s="535"/>
      <c r="S247" s="535"/>
      <c r="T247" s="535"/>
      <c r="U247" s="535"/>
      <c r="V247" s="535"/>
      <c r="W247" s="535"/>
      <c r="X247" s="535"/>
      <c r="Y247" s="535"/>
      <c r="Z247" s="535"/>
      <c r="AA247" s="535"/>
      <c r="AB247" s="535"/>
      <c r="AC247" s="535"/>
      <c r="AD247" s="535"/>
      <c r="AE247" s="535"/>
      <c r="AF247" s="535"/>
      <c r="AG247" s="535"/>
      <c r="AH247" s="535"/>
      <c r="AI247" s="535"/>
      <c r="AJ247" s="535"/>
      <c r="AK247" s="535"/>
      <c r="AL247" s="535"/>
      <c r="AM247" s="535"/>
      <c r="AN247" s="535"/>
      <c r="AO247" s="535"/>
      <c r="AP247" s="535"/>
      <c r="AQ247" s="535"/>
      <c r="AR247" s="535"/>
      <c r="AS247" s="535"/>
      <c r="AT247" s="535"/>
      <c r="AU247" s="535"/>
      <c r="AV247" s="535"/>
      <c r="AW247" s="535"/>
      <c r="AX247" s="535"/>
      <c r="AY247" s="535"/>
      <c r="AZ247" s="535"/>
      <c r="BA247" s="535"/>
      <c r="BB247" s="535"/>
      <c r="BC247" s="535"/>
      <c r="BD247" s="535"/>
      <c r="BE247" s="535"/>
      <c r="BF247" s="535"/>
      <c r="BG247" s="535"/>
      <c r="BH247" s="535"/>
      <c r="BI247" s="535"/>
      <c r="BJ247" s="535"/>
      <c r="BK247" s="535"/>
      <c r="BL247" s="535"/>
      <c r="BM247" s="535"/>
      <c r="BN247" s="535"/>
      <c r="BO247" s="535"/>
      <c r="BP247" s="535"/>
      <c r="BQ247" s="535"/>
      <c r="BR247" s="535"/>
      <c r="BS247" s="535"/>
      <c r="BT247" s="535"/>
      <c r="BU247" s="535"/>
      <c r="BV247" s="535"/>
      <c r="BW247" s="535"/>
      <c r="BX247" s="535"/>
      <c r="BY247" s="535"/>
      <c r="BZ247" s="535"/>
      <c r="CA247" s="535"/>
      <c r="CB247" s="535"/>
      <c r="CC247" s="535"/>
      <c r="CD247" s="535"/>
      <c r="CE247" s="535"/>
      <c r="CF247" s="535"/>
      <c r="CG247" s="410"/>
      <c r="CH247" s="410"/>
      <c r="CI247" s="410"/>
      <c r="CJ247" s="410"/>
      <c r="CK247" s="410"/>
      <c r="CL247" s="410"/>
      <c r="CM247" s="410"/>
      <c r="CN247" s="410"/>
      <c r="CO247" s="410"/>
    </row>
    <row r="248" spans="1:93" s="412" customFormat="1" ht="15.75" customHeight="1" x14ac:dyDescent="0.2">
      <c r="A248" s="2117"/>
      <c r="B248" s="2117"/>
      <c r="C248" s="2117"/>
      <c r="D248" s="2117"/>
      <c r="E248" s="2117"/>
      <c r="F248" s="2117"/>
      <c r="G248" s="2117"/>
      <c r="H248" s="2117"/>
      <c r="I248" s="2117"/>
      <c r="J248" s="2117"/>
      <c r="K248" s="2117"/>
      <c r="L248" s="2117"/>
      <c r="M248" s="26"/>
      <c r="N248" s="21"/>
      <c r="O248" s="410"/>
      <c r="P248" s="535"/>
      <c r="Q248" s="535"/>
      <c r="R248" s="535"/>
      <c r="S248" s="535"/>
      <c r="T248" s="535"/>
      <c r="U248" s="535"/>
      <c r="V248" s="535"/>
      <c r="W248" s="535"/>
      <c r="X248" s="535"/>
      <c r="Y248" s="535"/>
      <c r="Z248" s="535"/>
      <c r="AA248" s="535"/>
      <c r="AB248" s="535"/>
      <c r="AC248" s="535"/>
      <c r="AD248" s="535"/>
      <c r="AE248" s="535"/>
      <c r="AF248" s="535"/>
      <c r="AG248" s="535"/>
      <c r="AH248" s="535"/>
      <c r="AI248" s="535"/>
      <c r="AJ248" s="535"/>
      <c r="AK248" s="535"/>
      <c r="AL248" s="535"/>
      <c r="AM248" s="535"/>
      <c r="AN248" s="535"/>
      <c r="AO248" s="535"/>
      <c r="AP248" s="535"/>
      <c r="AQ248" s="535"/>
      <c r="AR248" s="535"/>
      <c r="AS248" s="535"/>
      <c r="AT248" s="535"/>
      <c r="AU248" s="535"/>
      <c r="AV248" s="535"/>
      <c r="AW248" s="535"/>
      <c r="AX248" s="535"/>
      <c r="AY248" s="535"/>
      <c r="AZ248" s="535"/>
      <c r="BA248" s="535"/>
      <c r="BB248" s="535"/>
      <c r="BC248" s="535"/>
      <c r="BD248" s="535"/>
      <c r="BE248" s="535"/>
      <c r="BF248" s="535"/>
      <c r="BG248" s="535"/>
      <c r="BH248" s="535"/>
      <c r="BI248" s="535"/>
      <c r="BJ248" s="535"/>
      <c r="BK248" s="535"/>
      <c r="BL248" s="535"/>
      <c r="BM248" s="535"/>
      <c r="BN248" s="535"/>
      <c r="BO248" s="535"/>
      <c r="BP248" s="535"/>
      <c r="BQ248" s="535"/>
      <c r="BR248" s="535"/>
      <c r="BS248" s="535"/>
      <c r="BT248" s="535"/>
      <c r="BU248" s="535"/>
      <c r="BV248" s="535"/>
      <c r="BW248" s="535"/>
      <c r="BX248" s="535"/>
      <c r="BY248" s="535"/>
      <c r="BZ248" s="535"/>
      <c r="CA248" s="535"/>
      <c r="CB248" s="535"/>
      <c r="CC248" s="535"/>
      <c r="CD248" s="535"/>
      <c r="CE248" s="535"/>
      <c r="CF248" s="535"/>
      <c r="CG248" s="410"/>
      <c r="CH248" s="410"/>
      <c r="CI248" s="410"/>
      <c r="CJ248" s="410"/>
      <c r="CK248" s="410"/>
      <c r="CL248" s="410"/>
      <c r="CM248" s="410"/>
      <c r="CN248" s="410"/>
      <c r="CO248" s="410"/>
    </row>
    <row r="249" spans="1:93" s="412" customFormat="1" ht="15.75" customHeight="1" x14ac:dyDescent="0.2">
      <c r="A249" s="26"/>
      <c r="B249" s="26"/>
      <c r="C249" s="26"/>
      <c r="D249" s="26"/>
      <c r="E249" s="26"/>
      <c r="F249" s="26"/>
      <c r="G249" s="26"/>
      <c r="H249" s="26"/>
      <c r="I249" s="26"/>
      <c r="J249" s="26"/>
      <c r="K249" s="26"/>
      <c r="L249" s="26"/>
      <c r="M249" s="26"/>
      <c r="N249" s="21"/>
      <c r="O249" s="410"/>
      <c r="P249" s="535"/>
      <c r="Q249" s="535"/>
      <c r="R249" s="535"/>
      <c r="S249" s="535"/>
      <c r="T249" s="535"/>
      <c r="U249" s="535"/>
      <c r="V249" s="535"/>
      <c r="W249" s="535"/>
      <c r="X249" s="535"/>
      <c r="Y249" s="535"/>
      <c r="Z249" s="535"/>
      <c r="AA249" s="535"/>
      <c r="AB249" s="535"/>
      <c r="AC249" s="535"/>
      <c r="AD249" s="535"/>
      <c r="AE249" s="535"/>
      <c r="AF249" s="535"/>
      <c r="AG249" s="535"/>
      <c r="AH249" s="535"/>
      <c r="AI249" s="535"/>
      <c r="AJ249" s="535"/>
      <c r="AK249" s="535"/>
      <c r="AL249" s="535"/>
      <c r="AM249" s="535"/>
      <c r="AN249" s="535"/>
      <c r="AO249" s="535"/>
      <c r="AP249" s="535"/>
      <c r="AQ249" s="535"/>
      <c r="AR249" s="535"/>
      <c r="AS249" s="535"/>
      <c r="AT249" s="535"/>
      <c r="AU249" s="535"/>
      <c r="AV249" s="535"/>
      <c r="AW249" s="535"/>
      <c r="AX249" s="535"/>
      <c r="AY249" s="535"/>
      <c r="AZ249" s="535"/>
      <c r="BA249" s="535"/>
      <c r="BB249" s="535"/>
      <c r="BC249" s="535"/>
      <c r="BD249" s="535"/>
      <c r="BE249" s="535"/>
      <c r="BF249" s="535"/>
      <c r="BG249" s="535"/>
      <c r="BH249" s="535"/>
      <c r="BI249" s="535"/>
      <c r="BJ249" s="535"/>
      <c r="BK249" s="535"/>
      <c r="BL249" s="535"/>
      <c r="BM249" s="535"/>
      <c r="BN249" s="535"/>
      <c r="BO249" s="535"/>
      <c r="BP249" s="535"/>
      <c r="BQ249" s="535"/>
      <c r="BR249" s="535"/>
      <c r="BS249" s="535"/>
      <c r="BT249" s="535"/>
      <c r="BU249" s="535"/>
      <c r="BV249" s="535"/>
      <c r="BW249" s="535"/>
      <c r="BX249" s="535"/>
      <c r="BY249" s="535"/>
      <c r="BZ249" s="535"/>
      <c r="CA249" s="535"/>
      <c r="CB249" s="535"/>
      <c r="CC249" s="535"/>
      <c r="CD249" s="535"/>
      <c r="CE249" s="535"/>
      <c r="CF249" s="535"/>
      <c r="CG249" s="410"/>
      <c r="CH249" s="410"/>
      <c r="CI249" s="410"/>
      <c r="CJ249" s="410"/>
      <c r="CK249" s="410"/>
      <c r="CL249" s="410"/>
      <c r="CM249" s="410"/>
      <c r="CN249" s="410"/>
      <c r="CO249" s="410"/>
    </row>
    <row r="250" spans="1:93" s="412" customFormat="1" ht="15.75" customHeight="1" x14ac:dyDescent="0.2">
      <c r="A250" s="1833" t="s">
        <v>1087</v>
      </c>
      <c r="B250" s="1833"/>
      <c r="C250" s="1833"/>
      <c r="D250" s="1833"/>
      <c r="E250" s="1833"/>
      <c r="F250" s="1833"/>
      <c r="G250" s="1833"/>
      <c r="H250" s="1833"/>
      <c r="I250" s="1833"/>
      <c r="J250" s="1833"/>
      <c r="K250" s="1833"/>
      <c r="L250" s="1833"/>
      <c r="M250" s="1833"/>
      <c r="N250" s="21"/>
      <c r="O250" s="410"/>
      <c r="P250" s="535"/>
      <c r="Q250" s="535"/>
      <c r="R250" s="535"/>
      <c r="S250" s="535"/>
      <c r="T250" s="535"/>
      <c r="U250" s="535"/>
      <c r="V250" s="535"/>
      <c r="W250" s="535"/>
      <c r="X250" s="535"/>
      <c r="Y250" s="535"/>
      <c r="Z250" s="535"/>
      <c r="AA250" s="535"/>
      <c r="AB250" s="535"/>
      <c r="AC250" s="535"/>
      <c r="AD250" s="535"/>
      <c r="AE250" s="535"/>
      <c r="AF250" s="535"/>
      <c r="AG250" s="535"/>
      <c r="AH250" s="535"/>
      <c r="AI250" s="535"/>
      <c r="AJ250" s="535"/>
      <c r="AK250" s="535"/>
      <c r="AL250" s="535"/>
      <c r="AM250" s="535"/>
      <c r="AN250" s="535"/>
      <c r="AO250" s="535"/>
      <c r="AP250" s="535"/>
      <c r="AQ250" s="535"/>
      <c r="AR250" s="535"/>
      <c r="AS250" s="535"/>
      <c r="AT250" s="535"/>
      <c r="AU250" s="535"/>
      <c r="AV250" s="535"/>
      <c r="AW250" s="535"/>
      <c r="AX250" s="535"/>
      <c r="AY250" s="535"/>
      <c r="AZ250" s="535"/>
      <c r="BA250" s="535"/>
      <c r="BB250" s="535"/>
      <c r="BC250" s="535"/>
      <c r="BD250" s="535"/>
      <c r="BE250" s="535"/>
      <c r="BF250" s="535"/>
      <c r="BG250" s="535"/>
      <c r="BH250" s="535"/>
      <c r="BI250" s="535"/>
      <c r="BJ250" s="535"/>
      <c r="BK250" s="535"/>
      <c r="BL250" s="535"/>
      <c r="BM250" s="535"/>
      <c r="BN250" s="535"/>
      <c r="BO250" s="535"/>
      <c r="BP250" s="535"/>
      <c r="BQ250" s="535"/>
      <c r="BR250" s="535"/>
      <c r="BS250" s="535"/>
      <c r="BT250" s="535"/>
      <c r="BU250" s="535"/>
      <c r="BV250" s="535"/>
      <c r="BW250" s="535"/>
      <c r="BX250" s="535"/>
      <c r="BY250" s="535"/>
      <c r="BZ250" s="535"/>
      <c r="CA250" s="535"/>
      <c r="CB250" s="535"/>
      <c r="CC250" s="535"/>
      <c r="CD250" s="535"/>
      <c r="CE250" s="535"/>
      <c r="CF250" s="535"/>
      <c r="CG250" s="410"/>
      <c r="CH250" s="410"/>
      <c r="CI250" s="410"/>
      <c r="CJ250" s="410"/>
      <c r="CK250" s="410"/>
      <c r="CL250" s="410"/>
      <c r="CM250" s="410"/>
      <c r="CN250" s="410"/>
      <c r="CO250" s="410"/>
    </row>
    <row r="251" spans="1:93" s="408" customFormat="1" ht="6.75" customHeight="1" thickBot="1" x14ac:dyDescent="0.25">
      <c r="A251" s="1"/>
      <c r="B251" s="25"/>
      <c r="C251" s="25"/>
      <c r="D251" s="25"/>
      <c r="E251" s="26"/>
      <c r="F251" s="26"/>
      <c r="G251" s="26"/>
      <c r="H251" s="26"/>
      <c r="I251" s="26"/>
      <c r="J251" s="26"/>
      <c r="K251" s="26"/>
      <c r="L251" s="27"/>
      <c r="M251" s="27"/>
      <c r="N251" s="27"/>
      <c r="O251" s="417"/>
      <c r="P251" s="604"/>
      <c r="Q251" s="604"/>
      <c r="R251" s="604"/>
      <c r="S251" s="604"/>
      <c r="T251" s="604"/>
      <c r="U251" s="604"/>
      <c r="V251" s="604"/>
      <c r="W251" s="604"/>
      <c r="X251" s="604"/>
      <c r="Y251" s="604"/>
      <c r="Z251" s="604"/>
      <c r="AA251" s="604"/>
      <c r="AB251" s="604"/>
      <c r="AC251" s="604"/>
      <c r="AD251" s="604"/>
      <c r="AE251" s="604"/>
      <c r="AF251" s="604"/>
      <c r="AG251" s="604"/>
      <c r="AH251" s="604"/>
      <c r="AI251" s="604"/>
      <c r="AJ251" s="604"/>
      <c r="AK251" s="604"/>
      <c r="AL251" s="604"/>
      <c r="AM251" s="604"/>
      <c r="AN251" s="604"/>
      <c r="AO251" s="604"/>
      <c r="AP251" s="604"/>
      <c r="AQ251" s="604"/>
      <c r="AR251" s="604"/>
      <c r="AS251" s="604"/>
      <c r="AT251" s="604"/>
      <c r="AU251" s="604"/>
      <c r="AV251" s="604"/>
      <c r="AW251" s="604"/>
      <c r="AX251" s="604"/>
      <c r="AY251" s="604"/>
      <c r="AZ251" s="604"/>
      <c r="BA251" s="604"/>
      <c r="BB251" s="604"/>
      <c r="BC251" s="604"/>
      <c r="BD251" s="604"/>
      <c r="BE251" s="604"/>
      <c r="BF251" s="604"/>
      <c r="BG251" s="604"/>
      <c r="BH251" s="604"/>
      <c r="BI251" s="604"/>
      <c r="BJ251" s="604"/>
      <c r="BK251" s="604"/>
      <c r="BL251" s="604"/>
      <c r="BM251" s="604"/>
      <c r="BN251" s="604"/>
      <c r="BO251" s="604"/>
      <c r="BP251" s="604"/>
      <c r="BQ251" s="604"/>
      <c r="BR251" s="604"/>
      <c r="BS251" s="604"/>
      <c r="BT251" s="604"/>
      <c r="BU251" s="604"/>
      <c r="BV251" s="604"/>
      <c r="BW251" s="604"/>
      <c r="BX251" s="604"/>
      <c r="BY251" s="604"/>
      <c r="BZ251" s="604"/>
      <c r="CA251" s="604"/>
      <c r="CB251" s="604"/>
      <c r="CC251" s="604"/>
      <c r="CD251" s="417"/>
      <c r="CE251" s="417"/>
      <c r="CF251" s="417"/>
      <c r="CG251" s="417"/>
      <c r="CH251" s="417"/>
      <c r="CI251" s="417"/>
      <c r="CJ251" s="417"/>
      <c r="CK251" s="417"/>
    </row>
    <row r="252" spans="1:93" s="412" customFormat="1" ht="15.75" customHeight="1" x14ac:dyDescent="0.2">
      <c r="A252" s="421" t="s">
        <v>1040</v>
      </c>
      <c r="B252" s="1161"/>
      <c r="C252" s="2235" t="s">
        <v>903</v>
      </c>
      <c r="D252" s="2027" t="s">
        <v>324</v>
      </c>
      <c r="E252" s="2149"/>
      <c r="F252" s="2027" t="s">
        <v>28</v>
      </c>
      <c r="G252" s="2149"/>
      <c r="H252" s="1902" t="s">
        <v>382</v>
      </c>
      <c r="I252" s="1902"/>
      <c r="J252" s="2035" t="s">
        <v>325</v>
      </c>
      <c r="K252" s="1902"/>
      <c r="L252" s="1902"/>
      <c r="M252" s="2036"/>
      <c r="N252" s="21"/>
      <c r="O252" s="410"/>
      <c r="P252" s="535"/>
      <c r="Q252" s="2156" t="s">
        <v>903</v>
      </c>
      <c r="R252" s="2156"/>
      <c r="S252" s="535"/>
      <c r="T252" s="535" t="s">
        <v>991</v>
      </c>
      <c r="U252" s="535"/>
      <c r="V252" s="535"/>
      <c r="W252" s="535"/>
      <c r="X252" s="535"/>
      <c r="Y252" s="535"/>
      <c r="Z252" s="535"/>
      <c r="AA252" s="535"/>
      <c r="AB252" s="535"/>
      <c r="AC252" s="535"/>
      <c r="AD252" s="535"/>
      <c r="AE252" s="535"/>
      <c r="AF252" s="535"/>
      <c r="AG252" s="535"/>
      <c r="AH252" s="535"/>
      <c r="AI252" s="535"/>
      <c r="AJ252" s="535"/>
      <c r="AK252" s="535"/>
      <c r="AL252" s="535"/>
      <c r="AM252" s="535"/>
      <c r="AN252" s="535"/>
      <c r="AO252" s="535"/>
      <c r="AP252" s="535"/>
      <c r="AQ252" s="535"/>
      <c r="AR252" s="535"/>
      <c r="AS252" s="535"/>
      <c r="AT252" s="535"/>
      <c r="AU252" s="535"/>
      <c r="AV252" s="535"/>
      <c r="AW252" s="535"/>
      <c r="AX252" s="535"/>
      <c r="AY252" s="535"/>
      <c r="AZ252" s="535"/>
      <c r="BA252" s="535"/>
      <c r="BB252" s="535"/>
      <c r="BC252" s="535"/>
      <c r="BD252" s="535"/>
      <c r="BE252" s="535"/>
      <c r="BF252" s="535"/>
      <c r="BG252" s="535"/>
      <c r="BH252" s="535"/>
      <c r="BI252" s="535"/>
      <c r="BJ252" s="535"/>
      <c r="BK252" s="535"/>
      <c r="BL252" s="535"/>
      <c r="BM252" s="535"/>
      <c r="BN252" s="535"/>
      <c r="BO252" s="535"/>
      <c r="BP252" s="535"/>
      <c r="BQ252" s="535"/>
      <c r="BR252" s="535"/>
      <c r="BS252" s="535"/>
      <c r="BT252" s="535"/>
      <c r="BU252" s="535"/>
      <c r="BV252" s="535"/>
      <c r="BW252" s="535"/>
      <c r="BX252" s="535"/>
      <c r="BY252" s="535"/>
      <c r="BZ252" s="535"/>
      <c r="CA252" s="535"/>
      <c r="CB252" s="535"/>
      <c r="CC252" s="535"/>
      <c r="CD252" s="410"/>
      <c r="CE252" s="410"/>
      <c r="CF252" s="410"/>
      <c r="CG252" s="410"/>
      <c r="CH252" s="410"/>
      <c r="CI252" s="410"/>
      <c r="CJ252" s="410"/>
      <c r="CK252" s="410"/>
    </row>
    <row r="253" spans="1:93" s="412" customFormat="1" ht="16.5" customHeight="1" thickBot="1" x14ac:dyDescent="0.25">
      <c r="A253" s="1163" t="s">
        <v>984</v>
      </c>
      <c r="B253" s="1162"/>
      <c r="C253" s="2236"/>
      <c r="D253" s="1895" t="s">
        <v>358</v>
      </c>
      <c r="E253" s="1896"/>
      <c r="F253" s="1895"/>
      <c r="G253" s="1896"/>
      <c r="H253" s="2039"/>
      <c r="I253" s="2039"/>
      <c r="J253" s="1920" t="s">
        <v>314</v>
      </c>
      <c r="K253" s="1921"/>
      <c r="L253" s="1912" t="s">
        <v>315</v>
      </c>
      <c r="M253" s="1913"/>
      <c r="N253" s="21"/>
      <c r="O253" s="410"/>
      <c r="P253" s="535"/>
      <c r="Q253" s="535"/>
      <c r="R253" s="535" t="s">
        <v>990</v>
      </c>
      <c r="S253" s="535" t="s">
        <v>1</v>
      </c>
      <c r="T253" s="535" t="s">
        <v>1</v>
      </c>
      <c r="U253" s="535"/>
      <c r="V253" s="535"/>
      <c r="W253" s="535"/>
      <c r="X253" s="535"/>
      <c r="Y253" s="535"/>
      <c r="Z253" s="535"/>
      <c r="AA253" s="535"/>
      <c r="AB253" s="535"/>
      <c r="AC253" s="535"/>
      <c r="AD253" s="535"/>
      <c r="AE253" s="535"/>
      <c r="AF253" s="535"/>
      <c r="AG253" s="535"/>
      <c r="AH253" s="535"/>
      <c r="AI253" s="535"/>
      <c r="AJ253" s="535"/>
      <c r="AK253" s="535"/>
      <c r="AL253" s="535"/>
      <c r="AM253" s="535"/>
      <c r="AN253" s="535"/>
      <c r="AO253" s="535"/>
      <c r="AP253" s="535"/>
      <c r="AQ253" s="535"/>
      <c r="AR253" s="535"/>
      <c r="AS253" s="535"/>
      <c r="AT253" s="535"/>
      <c r="AU253" s="535"/>
      <c r="AV253" s="535"/>
      <c r="AW253" s="535"/>
      <c r="AX253" s="535"/>
      <c r="AY253" s="535"/>
      <c r="AZ253" s="535"/>
      <c r="BA253" s="535"/>
      <c r="BB253" s="535"/>
      <c r="BC253" s="535"/>
      <c r="BD253" s="535"/>
      <c r="BE253" s="535"/>
      <c r="BF253" s="535"/>
      <c r="BG253" s="535"/>
      <c r="BH253" s="535"/>
      <c r="BI253" s="535"/>
      <c r="BJ253" s="535"/>
      <c r="BK253" s="535"/>
      <c r="BL253" s="535"/>
      <c r="BM253" s="535"/>
      <c r="BN253" s="535"/>
      <c r="BO253" s="535"/>
      <c r="BP253" s="535"/>
      <c r="BQ253" s="535"/>
      <c r="BR253" s="535"/>
      <c r="BS253" s="535"/>
      <c r="BT253" s="535"/>
      <c r="BU253" s="535"/>
      <c r="BV253" s="535"/>
      <c r="BW253" s="535"/>
      <c r="BX253" s="535"/>
      <c r="BY253" s="535"/>
      <c r="BZ253" s="535"/>
      <c r="CA253" s="535"/>
      <c r="CB253" s="535"/>
      <c r="CC253" s="535"/>
      <c r="CD253" s="410"/>
      <c r="CE253" s="410"/>
      <c r="CF253" s="410"/>
      <c r="CG253" s="410"/>
      <c r="CH253" s="410"/>
      <c r="CI253" s="410"/>
      <c r="CJ253" s="410"/>
      <c r="CK253" s="410"/>
    </row>
    <row r="254" spans="1:93" s="412" customFormat="1" ht="18" customHeight="1" x14ac:dyDescent="0.2">
      <c r="A254" s="2237" t="s">
        <v>29</v>
      </c>
      <c r="B254" s="2238"/>
      <c r="C254" s="1155"/>
      <c r="D254" s="2147" t="s">
        <v>314</v>
      </c>
      <c r="E254" s="2148"/>
      <c r="F254" s="2159"/>
      <c r="G254" s="1860"/>
      <c r="H254" s="1860"/>
      <c r="I254" s="1861"/>
      <c r="J254" s="2239" t="str">
        <f t="shared" ref="J254:J260" si="179">IF(P254=TRUE,F254/2*F254/2*3.1415926*H254," ")</f>
        <v xml:space="preserve"> </v>
      </c>
      <c r="K254" s="1948"/>
      <c r="L254" s="2035"/>
      <c r="M254" s="2036"/>
      <c r="N254" s="21"/>
      <c r="O254" s="410"/>
      <c r="P254" s="535" t="b">
        <f t="shared" ref="P254:P260" si="180">AND(F254&gt;0.1,H254&gt;0.1)</f>
        <v>0</v>
      </c>
      <c r="Q254" s="535" t="b">
        <v>0</v>
      </c>
      <c r="R254" s="585">
        <f>SUM(J254:M254)</f>
        <v>0</v>
      </c>
      <c r="S254" s="535">
        <f>IF(Q254=TRUE,R254,0)</f>
        <v>0</v>
      </c>
      <c r="T254" s="535" t="s">
        <v>12</v>
      </c>
      <c r="U254" s="535"/>
      <c r="V254" s="535"/>
      <c r="W254" s="535"/>
      <c r="X254" s="535"/>
      <c r="Y254" s="535"/>
      <c r="Z254" s="535"/>
      <c r="AA254" s="535"/>
      <c r="AB254" s="535"/>
      <c r="AC254" s="535"/>
      <c r="AD254" s="535"/>
      <c r="AE254" s="535"/>
      <c r="AF254" s="535"/>
      <c r="AG254" s="535"/>
      <c r="AH254" s="535"/>
      <c r="AI254" s="535"/>
      <c r="AJ254" s="535"/>
      <c r="AK254" s="535"/>
      <c r="AL254" s="535"/>
      <c r="AM254" s="535"/>
      <c r="AN254" s="535"/>
      <c r="AO254" s="535"/>
      <c r="AP254" s="535"/>
      <c r="AQ254" s="535"/>
      <c r="AR254" s="535"/>
      <c r="AS254" s="535"/>
      <c r="AT254" s="535"/>
      <c r="AU254" s="535"/>
      <c r="AV254" s="535"/>
      <c r="AW254" s="535"/>
      <c r="AX254" s="535"/>
      <c r="AY254" s="535"/>
      <c r="AZ254" s="535"/>
      <c r="BA254" s="535"/>
      <c r="BB254" s="535"/>
      <c r="BC254" s="535"/>
      <c r="BD254" s="535"/>
      <c r="BE254" s="535"/>
      <c r="BF254" s="535"/>
      <c r="BG254" s="535"/>
      <c r="BH254" s="535"/>
      <c r="BI254" s="535"/>
      <c r="BJ254" s="535"/>
      <c r="BK254" s="535"/>
      <c r="BL254" s="535"/>
      <c r="BM254" s="535"/>
      <c r="BN254" s="535"/>
      <c r="BO254" s="535"/>
      <c r="BP254" s="535"/>
      <c r="BQ254" s="535"/>
      <c r="BR254" s="535"/>
      <c r="BS254" s="535"/>
      <c r="BT254" s="535"/>
      <c r="BU254" s="535"/>
      <c r="BV254" s="535"/>
      <c r="BW254" s="535"/>
      <c r="BX254" s="535"/>
      <c r="BY254" s="535"/>
      <c r="BZ254" s="535"/>
      <c r="CA254" s="535"/>
      <c r="CB254" s="535"/>
      <c r="CC254" s="535"/>
      <c r="CD254" s="410"/>
      <c r="CE254" s="410"/>
      <c r="CF254" s="410"/>
      <c r="CG254" s="410"/>
      <c r="CH254" s="410"/>
      <c r="CI254" s="410"/>
      <c r="CJ254" s="410"/>
      <c r="CK254" s="410"/>
    </row>
    <row r="255" spans="1:93" s="412" customFormat="1" ht="18" customHeight="1" x14ac:dyDescent="0.2">
      <c r="A255" s="2233" t="s">
        <v>30</v>
      </c>
      <c r="B255" s="2234"/>
      <c r="C255" s="1156"/>
      <c r="D255" s="2248" t="s">
        <v>314</v>
      </c>
      <c r="E255" s="2249"/>
      <c r="F255" s="1914"/>
      <c r="G255" s="1915"/>
      <c r="H255" s="1915"/>
      <c r="I255" s="2138"/>
      <c r="J255" s="2162" t="str">
        <f t="shared" si="179"/>
        <v xml:space="preserve"> </v>
      </c>
      <c r="K255" s="1932"/>
      <c r="L255" s="1912"/>
      <c r="M255" s="1913"/>
      <c r="N255" s="21"/>
      <c r="O255" s="410"/>
      <c r="P255" s="535" t="b">
        <f t="shared" si="180"/>
        <v>0</v>
      </c>
      <c r="Q255" s="535" t="b">
        <v>0</v>
      </c>
      <c r="R255" s="585">
        <f t="shared" ref="R255:R266" si="181">SUM(J255:M255)</f>
        <v>0</v>
      </c>
      <c r="S255" s="535">
        <f t="shared" ref="S255:S266" si="182">IF(Q255=TRUE,R255,0)</f>
        <v>0</v>
      </c>
      <c r="T255" s="535" t="s">
        <v>992</v>
      </c>
      <c r="U255" s="535"/>
      <c r="V255" s="535"/>
      <c r="W255" s="535"/>
      <c r="X255" s="535"/>
      <c r="Y255" s="535"/>
      <c r="Z255" s="535"/>
      <c r="AA255" s="535"/>
      <c r="AB255" s="535"/>
      <c r="AC255" s="535"/>
      <c r="AD255" s="535"/>
      <c r="AE255" s="535"/>
      <c r="AF255" s="535"/>
      <c r="AG255" s="535"/>
      <c r="AH255" s="535"/>
      <c r="AI255" s="535"/>
      <c r="AJ255" s="535"/>
      <c r="AK255" s="535"/>
      <c r="AL255" s="535"/>
      <c r="AM255" s="535"/>
      <c r="AN255" s="535"/>
      <c r="AO255" s="535"/>
      <c r="AP255" s="535"/>
      <c r="AQ255" s="535"/>
      <c r="AR255" s="535"/>
      <c r="AS255" s="535"/>
      <c r="AT255" s="535"/>
      <c r="AU255" s="535"/>
      <c r="AV255" s="535"/>
      <c r="AW255" s="535"/>
      <c r="AX255" s="535"/>
      <c r="AY255" s="535"/>
      <c r="AZ255" s="535"/>
      <c r="BA255" s="535"/>
      <c r="BB255" s="535"/>
      <c r="BC255" s="535"/>
      <c r="BD255" s="535"/>
      <c r="BE255" s="535"/>
      <c r="BF255" s="535"/>
      <c r="BG255" s="535"/>
      <c r="BH255" s="535"/>
      <c r="BI255" s="535"/>
      <c r="BJ255" s="535"/>
      <c r="BK255" s="535"/>
      <c r="BL255" s="535"/>
      <c r="BM255" s="535"/>
      <c r="BN255" s="535"/>
      <c r="BO255" s="535"/>
      <c r="BP255" s="535"/>
      <c r="BQ255" s="535"/>
      <c r="BR255" s="535"/>
      <c r="BS255" s="535"/>
      <c r="BT255" s="535"/>
      <c r="BU255" s="535"/>
      <c r="BV255" s="535"/>
      <c r="BW255" s="535"/>
      <c r="BX255" s="535"/>
      <c r="BY255" s="535"/>
      <c r="BZ255" s="535"/>
      <c r="CA255" s="535"/>
      <c r="CB255" s="535"/>
      <c r="CC255" s="535"/>
      <c r="CD255" s="410"/>
      <c r="CE255" s="410"/>
      <c r="CF255" s="410"/>
      <c r="CG255" s="410"/>
      <c r="CH255" s="410"/>
      <c r="CI255" s="410"/>
      <c r="CJ255" s="410"/>
      <c r="CK255" s="410"/>
    </row>
    <row r="256" spans="1:93" s="412" customFormat="1" ht="18" customHeight="1" x14ac:dyDescent="0.2">
      <c r="A256" s="2233" t="s">
        <v>31</v>
      </c>
      <c r="B256" s="2234"/>
      <c r="C256" s="1156"/>
      <c r="D256" s="2248" t="s">
        <v>314</v>
      </c>
      <c r="E256" s="2249"/>
      <c r="F256" s="1914"/>
      <c r="G256" s="1915"/>
      <c r="H256" s="1915"/>
      <c r="I256" s="2138"/>
      <c r="J256" s="2162" t="str">
        <f t="shared" si="179"/>
        <v xml:space="preserve"> </v>
      </c>
      <c r="K256" s="1932"/>
      <c r="L256" s="1912"/>
      <c r="M256" s="1913"/>
      <c r="N256" s="21"/>
      <c r="O256" s="410"/>
      <c r="P256" s="535" t="b">
        <f t="shared" si="180"/>
        <v>0</v>
      </c>
      <c r="Q256" s="535" t="b">
        <v>0</v>
      </c>
      <c r="R256" s="585">
        <f t="shared" si="181"/>
        <v>0</v>
      </c>
      <c r="S256" s="535">
        <f t="shared" si="182"/>
        <v>0</v>
      </c>
      <c r="T256" s="535" t="s">
        <v>907</v>
      </c>
      <c r="U256" s="535"/>
      <c r="V256" s="535"/>
      <c r="W256" s="535"/>
      <c r="X256" s="535"/>
      <c r="Y256" s="535"/>
      <c r="Z256" s="535"/>
      <c r="AA256" s="535"/>
      <c r="AB256" s="535"/>
      <c r="AC256" s="535"/>
      <c r="AD256" s="535"/>
      <c r="AE256" s="535"/>
      <c r="AF256" s="535"/>
      <c r="AG256" s="535"/>
      <c r="AH256" s="535"/>
      <c r="AI256" s="535"/>
      <c r="AJ256" s="535"/>
      <c r="AK256" s="535"/>
      <c r="AL256" s="535"/>
      <c r="AM256" s="535"/>
      <c r="AN256" s="535"/>
      <c r="AO256" s="535"/>
      <c r="AP256" s="535"/>
      <c r="AQ256" s="535"/>
      <c r="AR256" s="535"/>
      <c r="AS256" s="535"/>
      <c r="AT256" s="535"/>
      <c r="AU256" s="535"/>
      <c r="AV256" s="535"/>
      <c r="AW256" s="535"/>
      <c r="AX256" s="535"/>
      <c r="AY256" s="535"/>
      <c r="AZ256" s="535"/>
      <c r="BA256" s="535"/>
      <c r="BB256" s="535"/>
      <c r="BC256" s="535"/>
      <c r="BD256" s="535"/>
      <c r="BE256" s="535"/>
      <c r="BF256" s="535"/>
      <c r="BG256" s="535"/>
      <c r="BH256" s="535"/>
      <c r="BI256" s="535"/>
      <c r="BJ256" s="535"/>
      <c r="BK256" s="535"/>
      <c r="BL256" s="535"/>
      <c r="BM256" s="535"/>
      <c r="BN256" s="535"/>
      <c r="BO256" s="535"/>
      <c r="BP256" s="535"/>
      <c r="BQ256" s="535"/>
      <c r="BR256" s="535"/>
      <c r="BS256" s="535"/>
      <c r="BT256" s="535"/>
      <c r="BU256" s="535"/>
      <c r="BV256" s="535"/>
      <c r="BW256" s="535"/>
      <c r="BX256" s="535"/>
      <c r="BY256" s="535"/>
      <c r="BZ256" s="535"/>
      <c r="CA256" s="535"/>
      <c r="CB256" s="535"/>
      <c r="CC256" s="535"/>
      <c r="CD256" s="410"/>
      <c r="CE256" s="410"/>
      <c r="CF256" s="410"/>
      <c r="CG256" s="410"/>
      <c r="CH256" s="410"/>
      <c r="CI256" s="410"/>
      <c r="CJ256" s="410"/>
      <c r="CK256" s="410"/>
    </row>
    <row r="257" spans="1:89" s="412" customFormat="1" ht="18" customHeight="1" x14ac:dyDescent="0.2">
      <c r="A257" s="2233" t="s">
        <v>864</v>
      </c>
      <c r="B257" s="2234"/>
      <c r="C257" s="1156"/>
      <c r="D257" s="2248" t="s">
        <v>314</v>
      </c>
      <c r="E257" s="2249"/>
      <c r="F257" s="1914"/>
      <c r="G257" s="1915"/>
      <c r="H257" s="1915"/>
      <c r="I257" s="2138"/>
      <c r="J257" s="2162" t="str">
        <f t="shared" si="179"/>
        <v xml:space="preserve"> </v>
      </c>
      <c r="K257" s="1932"/>
      <c r="L257" s="1912"/>
      <c r="M257" s="1913"/>
      <c r="N257" s="21"/>
      <c r="O257" s="410"/>
      <c r="P257" s="535" t="b">
        <f t="shared" si="180"/>
        <v>0</v>
      </c>
      <c r="Q257" s="535" t="b">
        <v>0</v>
      </c>
      <c r="R257" s="585">
        <f t="shared" si="181"/>
        <v>0</v>
      </c>
      <c r="S257" s="535">
        <f t="shared" si="182"/>
        <v>0</v>
      </c>
      <c r="T257" s="535" t="s">
        <v>906</v>
      </c>
      <c r="U257" s="535"/>
      <c r="V257" s="535"/>
      <c r="W257" s="535"/>
      <c r="X257" s="535"/>
      <c r="Y257" s="535"/>
      <c r="Z257" s="535"/>
      <c r="AA257" s="535"/>
      <c r="AB257" s="535"/>
      <c r="AC257" s="535"/>
      <c r="AD257" s="535"/>
      <c r="AE257" s="535"/>
      <c r="AF257" s="535"/>
      <c r="AG257" s="535"/>
      <c r="AH257" s="535"/>
      <c r="AI257" s="535"/>
      <c r="AJ257" s="535"/>
      <c r="AK257" s="535"/>
      <c r="AL257" s="535"/>
      <c r="AM257" s="535"/>
      <c r="AN257" s="535"/>
      <c r="AO257" s="535"/>
      <c r="AP257" s="535"/>
      <c r="AQ257" s="535"/>
      <c r="AR257" s="535"/>
      <c r="AS257" s="535"/>
      <c r="AT257" s="535"/>
      <c r="AU257" s="535"/>
      <c r="AV257" s="535"/>
      <c r="AW257" s="535"/>
      <c r="AX257" s="535"/>
      <c r="AY257" s="535"/>
      <c r="AZ257" s="535"/>
      <c r="BA257" s="535"/>
      <c r="BB257" s="535"/>
      <c r="BC257" s="535"/>
      <c r="BD257" s="535"/>
      <c r="BE257" s="535"/>
      <c r="BF257" s="535"/>
      <c r="BG257" s="535"/>
      <c r="BH257" s="535"/>
      <c r="BI257" s="535"/>
      <c r="BJ257" s="535"/>
      <c r="BK257" s="535"/>
      <c r="BL257" s="535"/>
      <c r="BM257" s="535"/>
      <c r="BN257" s="535"/>
      <c r="BO257" s="535"/>
      <c r="BP257" s="535"/>
      <c r="BQ257" s="535"/>
      <c r="BR257" s="535"/>
      <c r="BS257" s="535"/>
      <c r="BT257" s="535"/>
      <c r="BU257" s="535"/>
      <c r="BV257" s="535"/>
      <c r="BW257" s="535"/>
      <c r="BX257" s="535"/>
      <c r="BY257" s="535"/>
      <c r="BZ257" s="535"/>
      <c r="CA257" s="535"/>
      <c r="CB257" s="535"/>
      <c r="CC257" s="535"/>
      <c r="CD257" s="410"/>
      <c r="CE257" s="410"/>
      <c r="CF257" s="410"/>
      <c r="CG257" s="410"/>
      <c r="CH257" s="410"/>
      <c r="CI257" s="410"/>
      <c r="CJ257" s="410"/>
      <c r="CK257" s="410"/>
    </row>
    <row r="258" spans="1:89" s="412" customFormat="1" ht="18" customHeight="1" x14ac:dyDescent="0.2">
      <c r="A258" s="2233" t="s">
        <v>865</v>
      </c>
      <c r="B258" s="2234"/>
      <c r="C258" s="1156"/>
      <c r="D258" s="2248" t="s">
        <v>314</v>
      </c>
      <c r="E258" s="2249"/>
      <c r="F258" s="1914"/>
      <c r="G258" s="1915"/>
      <c r="H258" s="1915"/>
      <c r="I258" s="2138"/>
      <c r="J258" s="2162" t="str">
        <f>IF(P258=TRUE,F258/2*F258/2*3.1415926*H258," ")</f>
        <v xml:space="preserve"> </v>
      </c>
      <c r="K258" s="1932"/>
      <c r="L258" s="1912"/>
      <c r="M258" s="1913"/>
      <c r="N258" s="21"/>
      <c r="O258" s="410"/>
      <c r="P258" s="535" t="b">
        <f>AND(F258&gt;0.1,H258&gt;0.1)</f>
        <v>0</v>
      </c>
      <c r="Q258" s="535" t="b">
        <v>0</v>
      </c>
      <c r="R258" s="585">
        <f t="shared" si="181"/>
        <v>0</v>
      </c>
      <c r="S258" s="535">
        <f t="shared" si="182"/>
        <v>0</v>
      </c>
      <c r="T258" s="535" t="e">
        <f>+(BJ156+DT88)/(EC88+D156)</f>
        <v>#DIV/0!</v>
      </c>
      <c r="U258" s="535"/>
      <c r="V258" s="535"/>
      <c r="W258" s="535"/>
      <c r="X258" s="535"/>
      <c r="Y258" s="535"/>
      <c r="Z258" s="535"/>
      <c r="AA258" s="535"/>
      <c r="AB258" s="535"/>
      <c r="AC258" s="535"/>
      <c r="AD258" s="535"/>
      <c r="AE258" s="535"/>
      <c r="AF258" s="535"/>
      <c r="AG258" s="535"/>
      <c r="AH258" s="535"/>
      <c r="AI258" s="535"/>
      <c r="AJ258" s="535"/>
      <c r="AK258" s="535"/>
      <c r="AL258" s="535"/>
      <c r="AM258" s="535"/>
      <c r="AN258" s="535"/>
      <c r="AO258" s="535"/>
      <c r="AP258" s="535"/>
      <c r="AQ258" s="535"/>
      <c r="AR258" s="535"/>
      <c r="AS258" s="535"/>
      <c r="AT258" s="535"/>
      <c r="AU258" s="535"/>
      <c r="AV258" s="535"/>
      <c r="AW258" s="535"/>
      <c r="AX258" s="535"/>
      <c r="AY258" s="535"/>
      <c r="AZ258" s="535"/>
      <c r="BA258" s="535"/>
      <c r="BB258" s="535"/>
      <c r="BC258" s="535"/>
      <c r="BD258" s="535"/>
      <c r="BE258" s="535"/>
      <c r="BF258" s="535"/>
      <c r="BG258" s="535"/>
      <c r="BH258" s="535"/>
      <c r="BI258" s="535"/>
      <c r="BJ258" s="535"/>
      <c r="BK258" s="535"/>
      <c r="BL258" s="535"/>
      <c r="BM258" s="535"/>
      <c r="BN258" s="535"/>
      <c r="BO258" s="535"/>
      <c r="BP258" s="535"/>
      <c r="BQ258" s="535"/>
      <c r="BR258" s="535"/>
      <c r="BS258" s="535"/>
      <c r="BT258" s="535"/>
      <c r="BU258" s="535"/>
      <c r="BV258" s="535"/>
      <c r="BW258" s="535"/>
      <c r="BX258" s="535"/>
      <c r="BY258" s="535"/>
      <c r="BZ258" s="535"/>
      <c r="CA258" s="535"/>
      <c r="CB258" s="535"/>
      <c r="CC258" s="535"/>
      <c r="CD258" s="410"/>
      <c r="CE258" s="410"/>
      <c r="CF258" s="410"/>
      <c r="CG258" s="410"/>
      <c r="CH258" s="410"/>
      <c r="CI258" s="410"/>
      <c r="CJ258" s="410"/>
      <c r="CK258" s="410"/>
    </row>
    <row r="259" spans="1:89" s="412" customFormat="1" ht="18" customHeight="1" x14ac:dyDescent="0.2">
      <c r="A259" s="2233" t="s">
        <v>866</v>
      </c>
      <c r="B259" s="2234"/>
      <c r="C259" s="1156"/>
      <c r="D259" s="2248" t="s">
        <v>314</v>
      </c>
      <c r="E259" s="2249"/>
      <c r="F259" s="1914"/>
      <c r="G259" s="1915"/>
      <c r="H259" s="1915"/>
      <c r="I259" s="2138"/>
      <c r="J259" s="2162" t="str">
        <f t="shared" si="179"/>
        <v xml:space="preserve"> </v>
      </c>
      <c r="K259" s="1932"/>
      <c r="L259" s="1912"/>
      <c r="M259" s="1913"/>
      <c r="N259" s="21"/>
      <c r="O259" s="410"/>
      <c r="P259" s="535" t="b">
        <f t="shared" si="180"/>
        <v>0</v>
      </c>
      <c r="Q259" s="535" t="b">
        <v>0</v>
      </c>
      <c r="R259" s="585">
        <f t="shared" si="181"/>
        <v>0</v>
      </c>
      <c r="S259" s="535">
        <f t="shared" si="182"/>
        <v>0</v>
      </c>
      <c r="T259" s="535"/>
      <c r="U259" s="535"/>
      <c r="V259" s="535"/>
      <c r="W259" s="535"/>
      <c r="X259" s="535"/>
      <c r="Y259" s="535"/>
      <c r="Z259" s="535"/>
      <c r="AA259" s="535"/>
      <c r="AB259" s="535"/>
      <c r="AC259" s="535"/>
      <c r="AD259" s="535"/>
      <c r="AE259" s="535"/>
      <c r="AF259" s="535"/>
      <c r="AG259" s="535"/>
      <c r="AH259" s="535"/>
      <c r="AI259" s="535"/>
      <c r="AJ259" s="535"/>
      <c r="AK259" s="535"/>
      <c r="AL259" s="535"/>
      <c r="AM259" s="535"/>
      <c r="AN259" s="535"/>
      <c r="AO259" s="535"/>
      <c r="AP259" s="535"/>
      <c r="AQ259" s="535"/>
      <c r="AR259" s="535"/>
      <c r="AS259" s="535"/>
      <c r="AT259" s="535"/>
      <c r="AU259" s="535"/>
      <c r="AV259" s="535"/>
      <c r="AW259" s="535"/>
      <c r="AX259" s="535"/>
      <c r="AY259" s="535"/>
      <c r="AZ259" s="535"/>
      <c r="BA259" s="535"/>
      <c r="BB259" s="535"/>
      <c r="BC259" s="535"/>
      <c r="BD259" s="535"/>
      <c r="BE259" s="535"/>
      <c r="BF259" s="535"/>
      <c r="BG259" s="535"/>
      <c r="BH259" s="535"/>
      <c r="BI259" s="535"/>
      <c r="BJ259" s="535"/>
      <c r="BK259" s="535"/>
      <c r="BL259" s="535"/>
      <c r="BM259" s="535"/>
      <c r="BN259" s="535"/>
      <c r="BO259" s="535"/>
      <c r="BP259" s="535"/>
      <c r="BQ259" s="535"/>
      <c r="BR259" s="535"/>
      <c r="BS259" s="535"/>
      <c r="BT259" s="535"/>
      <c r="BU259" s="535"/>
      <c r="BV259" s="535"/>
      <c r="BW259" s="535"/>
      <c r="BX259" s="535"/>
      <c r="BY259" s="535"/>
      <c r="BZ259" s="535"/>
      <c r="CA259" s="535"/>
      <c r="CB259" s="535"/>
      <c r="CC259" s="535"/>
      <c r="CD259" s="410"/>
      <c r="CE259" s="410"/>
      <c r="CF259" s="410"/>
      <c r="CG259" s="410"/>
      <c r="CH259" s="410"/>
      <c r="CI259" s="410"/>
      <c r="CJ259" s="410"/>
      <c r="CK259" s="410"/>
    </row>
    <row r="260" spans="1:89" s="412" customFormat="1" ht="18" customHeight="1" thickBot="1" x14ac:dyDescent="0.25">
      <c r="A260" s="2251" t="s">
        <v>983</v>
      </c>
      <c r="B260" s="2252"/>
      <c r="C260" s="1157"/>
      <c r="D260" s="1910" t="s">
        <v>314</v>
      </c>
      <c r="E260" s="1911"/>
      <c r="F260" s="2250"/>
      <c r="G260" s="2157"/>
      <c r="H260" s="2157"/>
      <c r="I260" s="2158"/>
      <c r="J260" s="2186" t="str">
        <f t="shared" si="179"/>
        <v xml:space="preserve"> </v>
      </c>
      <c r="K260" s="1935"/>
      <c r="L260" s="2187"/>
      <c r="M260" s="2188"/>
      <c r="N260" s="21"/>
      <c r="O260" s="410"/>
      <c r="P260" s="535" t="b">
        <f t="shared" si="180"/>
        <v>0</v>
      </c>
      <c r="Q260" s="535" t="b">
        <v>0</v>
      </c>
      <c r="R260" s="585">
        <f t="shared" si="181"/>
        <v>0</v>
      </c>
      <c r="S260" s="535">
        <f t="shared" si="182"/>
        <v>0</v>
      </c>
      <c r="T260" s="535"/>
      <c r="U260" s="535"/>
      <c r="V260" s="535"/>
      <c r="W260" s="535"/>
      <c r="X260" s="535"/>
      <c r="Y260" s="535"/>
      <c r="Z260" s="535"/>
      <c r="AA260" s="535"/>
      <c r="AB260" s="535"/>
      <c r="AC260" s="535"/>
      <c r="AD260" s="535"/>
      <c r="AE260" s="535"/>
      <c r="AF260" s="535"/>
      <c r="AG260" s="535"/>
      <c r="AH260" s="535"/>
      <c r="AI260" s="535"/>
      <c r="AJ260" s="535"/>
      <c r="AK260" s="535"/>
      <c r="AL260" s="535"/>
      <c r="AM260" s="535"/>
      <c r="AN260" s="535"/>
      <c r="AO260" s="535"/>
      <c r="AP260" s="535"/>
      <c r="AQ260" s="535"/>
      <c r="AR260" s="535"/>
      <c r="AS260" s="535"/>
      <c r="AT260" s="535"/>
      <c r="AU260" s="535"/>
      <c r="AV260" s="535"/>
      <c r="AW260" s="535"/>
      <c r="AX260" s="535"/>
      <c r="AY260" s="535"/>
      <c r="AZ260" s="535"/>
      <c r="BA260" s="535"/>
      <c r="BB260" s="535"/>
      <c r="BC260" s="535"/>
      <c r="BD260" s="535"/>
      <c r="BE260" s="535"/>
      <c r="BF260" s="535"/>
      <c r="BG260" s="535"/>
      <c r="BH260" s="535"/>
      <c r="BI260" s="535"/>
      <c r="BJ260" s="535"/>
      <c r="BK260" s="535"/>
      <c r="BL260" s="535"/>
      <c r="BM260" s="535"/>
      <c r="BN260" s="535"/>
      <c r="BO260" s="535"/>
      <c r="BP260" s="535"/>
      <c r="BQ260" s="535"/>
      <c r="BR260" s="535"/>
      <c r="BS260" s="535"/>
      <c r="BT260" s="535"/>
      <c r="BU260" s="535"/>
      <c r="BV260" s="535"/>
      <c r="BW260" s="535"/>
      <c r="BX260" s="535"/>
      <c r="BY260" s="535"/>
      <c r="BZ260" s="535"/>
      <c r="CA260" s="535"/>
      <c r="CB260" s="535"/>
      <c r="CC260" s="535"/>
      <c r="CD260" s="410"/>
      <c r="CE260" s="410"/>
      <c r="CF260" s="410"/>
      <c r="CG260" s="410"/>
      <c r="CH260" s="410"/>
      <c r="CI260" s="410"/>
      <c r="CJ260" s="410"/>
      <c r="CK260" s="410"/>
    </row>
    <row r="261" spans="1:89" s="412" customFormat="1" ht="16.5" customHeight="1" x14ac:dyDescent="0.2">
      <c r="A261" s="1324" t="s">
        <v>1038</v>
      </c>
      <c r="B261" s="1164"/>
      <c r="C261" s="2235" t="s">
        <v>903</v>
      </c>
      <c r="D261" s="1895" t="s">
        <v>324</v>
      </c>
      <c r="E261" s="1896"/>
      <c r="F261" s="1121" t="s">
        <v>32</v>
      </c>
      <c r="G261" s="1121" t="s">
        <v>33</v>
      </c>
      <c r="H261" s="1895" t="s">
        <v>382</v>
      </c>
      <c r="I261" s="2039"/>
      <c r="J261" s="2160"/>
      <c r="K261" s="2161"/>
      <c r="L261" s="2288" t="str">
        <f>IF(Y267&gt;0,"!!Fehler!!"," ")</f>
        <v xml:space="preserve"> </v>
      </c>
      <c r="M261" s="2289"/>
      <c r="N261" s="21"/>
      <c r="O261" s="410"/>
      <c r="P261" s="535"/>
      <c r="Q261" s="535"/>
      <c r="R261" s="585">
        <f t="shared" si="181"/>
        <v>0</v>
      </c>
      <c r="S261" s="535">
        <f t="shared" si="182"/>
        <v>0</v>
      </c>
      <c r="T261" s="535"/>
      <c r="U261" s="535"/>
      <c r="V261" s="535"/>
      <c r="W261" s="535"/>
      <c r="X261" s="535"/>
      <c r="Y261" s="535" t="s">
        <v>995</v>
      </c>
      <c r="Z261" s="535"/>
      <c r="AA261" s="535"/>
      <c r="AB261" s="535"/>
      <c r="AC261" s="535"/>
      <c r="AD261" s="535"/>
      <c r="AE261" s="535"/>
      <c r="AF261" s="535"/>
      <c r="AG261" s="535"/>
      <c r="AH261" s="535"/>
      <c r="AI261" s="535"/>
      <c r="AJ261" s="535"/>
      <c r="AK261" s="535"/>
      <c r="AL261" s="535"/>
      <c r="AM261" s="535"/>
      <c r="AN261" s="535"/>
      <c r="AO261" s="535"/>
      <c r="AP261" s="535"/>
      <c r="AQ261" s="535"/>
      <c r="AR261" s="535"/>
      <c r="AS261" s="535"/>
      <c r="AT261" s="535"/>
      <c r="AU261" s="535"/>
      <c r="AV261" s="535"/>
      <c r="AW261" s="535"/>
      <c r="AX261" s="535"/>
      <c r="AY261" s="535"/>
      <c r="AZ261" s="535"/>
      <c r="BA261" s="535"/>
      <c r="BB261" s="535"/>
      <c r="BC261" s="535"/>
      <c r="BD261" s="535"/>
      <c r="BE261" s="535"/>
      <c r="BF261" s="535"/>
      <c r="BG261" s="535"/>
      <c r="BH261" s="535"/>
      <c r="BI261" s="535"/>
      <c r="BJ261" s="535"/>
      <c r="BK261" s="535"/>
      <c r="BL261" s="535"/>
      <c r="BM261" s="535"/>
      <c r="BN261" s="535"/>
      <c r="BO261" s="535"/>
      <c r="BP261" s="535"/>
      <c r="BQ261" s="535"/>
      <c r="BR261" s="535"/>
      <c r="BS261" s="535"/>
      <c r="BT261" s="535"/>
      <c r="BU261" s="535"/>
      <c r="BV261" s="535"/>
      <c r="BW261" s="535"/>
      <c r="BX261" s="535"/>
      <c r="BY261" s="535"/>
      <c r="BZ261" s="535"/>
      <c r="CA261" s="535"/>
      <c r="CB261" s="535"/>
      <c r="CC261" s="535"/>
      <c r="CD261" s="410"/>
      <c r="CE261" s="410"/>
      <c r="CF261" s="410"/>
      <c r="CG261" s="410"/>
      <c r="CH261" s="410"/>
      <c r="CI261" s="410"/>
      <c r="CJ261" s="410"/>
      <c r="CK261" s="410"/>
    </row>
    <row r="262" spans="1:89" s="412" customFormat="1" ht="16.5" customHeight="1" thickBot="1" x14ac:dyDescent="0.25">
      <c r="A262" s="1324" t="s">
        <v>1039</v>
      </c>
      <c r="B262" s="1164"/>
      <c r="C262" s="2236"/>
      <c r="D262" s="1895" t="s">
        <v>358</v>
      </c>
      <c r="E262" s="1896"/>
      <c r="F262" s="1121"/>
      <c r="G262" s="1121"/>
      <c r="H262" s="2317"/>
      <c r="I262" s="2318"/>
      <c r="J262" s="2321"/>
      <c r="K262" s="2322"/>
      <c r="L262" s="2193" t="str">
        <f>IF(Y267&gt;0,"Ferm. fest"," ")</f>
        <v xml:space="preserve"> </v>
      </c>
      <c r="M262" s="2194"/>
      <c r="N262" s="21"/>
      <c r="O262" s="410"/>
      <c r="P262" s="535"/>
      <c r="Q262" s="535"/>
      <c r="R262" s="585">
        <f t="shared" si="181"/>
        <v>0</v>
      </c>
      <c r="S262" s="535">
        <f t="shared" si="182"/>
        <v>0</v>
      </c>
      <c r="T262" s="535"/>
      <c r="U262" s="535" t="s">
        <v>23</v>
      </c>
      <c r="V262" s="535"/>
      <c r="W262" s="535"/>
      <c r="X262" s="535"/>
      <c r="Y262" s="535" t="s">
        <v>903</v>
      </c>
      <c r="Z262" s="535"/>
      <c r="AA262" s="535"/>
      <c r="AB262" s="535"/>
      <c r="AC262" s="535"/>
      <c r="AD262" s="535"/>
      <c r="AE262" s="535"/>
      <c r="AF262" s="535"/>
      <c r="AG262" s="535"/>
      <c r="AH262" s="535"/>
      <c r="AI262" s="535"/>
      <c r="AJ262" s="535"/>
      <c r="AK262" s="535"/>
      <c r="AL262" s="535"/>
      <c r="AM262" s="535"/>
      <c r="AN262" s="535"/>
      <c r="AO262" s="535"/>
      <c r="AP262" s="535"/>
      <c r="AQ262" s="535"/>
      <c r="AR262" s="535"/>
      <c r="AS262" s="535"/>
      <c r="AT262" s="535"/>
      <c r="AU262" s="535"/>
      <c r="AV262" s="535"/>
      <c r="AW262" s="535"/>
      <c r="AX262" s="535"/>
      <c r="AY262" s="535"/>
      <c r="AZ262" s="535"/>
      <c r="BA262" s="535"/>
      <c r="BB262" s="535"/>
      <c r="BC262" s="535"/>
      <c r="BD262" s="535"/>
      <c r="BE262" s="535"/>
      <c r="BF262" s="535"/>
      <c r="BG262" s="535"/>
      <c r="BH262" s="535"/>
      <c r="BI262" s="535"/>
      <c r="BJ262" s="535"/>
      <c r="BK262" s="535"/>
      <c r="BL262" s="535"/>
      <c r="BM262" s="535"/>
      <c r="BN262" s="535"/>
      <c r="BO262" s="535"/>
      <c r="BP262" s="535"/>
      <c r="BQ262" s="535"/>
      <c r="BR262" s="535"/>
      <c r="BS262" s="535"/>
      <c r="BT262" s="535"/>
      <c r="BU262" s="535"/>
      <c r="BV262" s="535"/>
      <c r="BW262" s="535"/>
      <c r="BX262" s="535"/>
      <c r="BY262" s="535"/>
      <c r="BZ262" s="535"/>
      <c r="CA262" s="535"/>
      <c r="CB262" s="535"/>
      <c r="CC262" s="535"/>
      <c r="CD262" s="410"/>
      <c r="CE262" s="410"/>
      <c r="CF262" s="410"/>
      <c r="CG262" s="410"/>
      <c r="CH262" s="410"/>
      <c r="CI262" s="410"/>
      <c r="CJ262" s="410"/>
      <c r="CK262" s="410"/>
    </row>
    <row r="263" spans="1:89" s="412" customFormat="1" ht="18" customHeight="1" x14ac:dyDescent="0.2">
      <c r="A263" s="2237" t="s">
        <v>861</v>
      </c>
      <c r="B263" s="2238"/>
      <c r="C263" s="1155"/>
      <c r="D263" s="2323"/>
      <c r="E263" s="2324"/>
      <c r="F263" s="438"/>
      <c r="G263" s="435"/>
      <c r="H263" s="1860"/>
      <c r="I263" s="1861"/>
      <c r="J263" s="2239" t="str">
        <f>IF(P263=TRUE,IF(X263=2,F263*G263*H263," ")," ")</f>
        <v xml:space="preserve"> </v>
      </c>
      <c r="K263" s="1948"/>
      <c r="L263" s="2239" t="str">
        <f>IF(P263=TRUE,IF(X263=3,F263*G263*H263," ")," ")</f>
        <v xml:space="preserve"> </v>
      </c>
      <c r="M263" s="1948"/>
      <c r="N263" s="21"/>
      <c r="O263" s="410"/>
      <c r="P263" s="535" t="b">
        <f>AND(F263&gt;0.1,G263&gt;0.1,H263&gt;0.1)</f>
        <v>0</v>
      </c>
      <c r="Q263" s="535" t="b">
        <v>0</v>
      </c>
      <c r="R263" s="585">
        <f t="shared" si="181"/>
        <v>0</v>
      </c>
      <c r="S263" s="535">
        <f t="shared" si="182"/>
        <v>0</v>
      </c>
      <c r="T263" s="535" t="s">
        <v>993</v>
      </c>
      <c r="U263" s="535" t="s">
        <v>314</v>
      </c>
      <c r="V263" s="535"/>
      <c r="W263" s="535"/>
      <c r="X263" s="535">
        <v>1</v>
      </c>
      <c r="Y263" s="535">
        <f>IF(X263=3,IF(Q263=TRUE,1,0),0)</f>
        <v>0</v>
      </c>
      <c r="Z263" s="535"/>
      <c r="AA263" s="535"/>
      <c r="AB263" s="535"/>
      <c r="AC263" s="535"/>
      <c r="AD263" s="535"/>
      <c r="AE263" s="535"/>
      <c r="AF263" s="535"/>
      <c r="AG263" s="535"/>
      <c r="AH263" s="535"/>
      <c r="AI263" s="535"/>
      <c r="AJ263" s="535"/>
      <c r="AK263" s="535"/>
      <c r="AL263" s="535"/>
      <c r="AM263" s="535"/>
      <c r="AN263" s="535"/>
      <c r="AO263" s="535"/>
      <c r="AP263" s="535"/>
      <c r="AQ263" s="535"/>
      <c r="AR263" s="535"/>
      <c r="AS263" s="535"/>
      <c r="AT263" s="535"/>
      <c r="AU263" s="535"/>
      <c r="AV263" s="535"/>
      <c r="AW263" s="535"/>
      <c r="AX263" s="535"/>
      <c r="AY263" s="535"/>
      <c r="AZ263" s="535"/>
      <c r="BA263" s="535"/>
      <c r="BB263" s="535"/>
      <c r="BC263" s="535"/>
      <c r="BD263" s="535"/>
      <c r="BE263" s="535"/>
      <c r="BF263" s="535"/>
      <c r="BG263" s="535"/>
      <c r="BH263" s="535"/>
      <c r="BI263" s="535"/>
      <c r="BJ263" s="535"/>
      <c r="BK263" s="535"/>
      <c r="BL263" s="535"/>
      <c r="BM263" s="535"/>
      <c r="BN263" s="535"/>
      <c r="BO263" s="535"/>
      <c r="BP263" s="535"/>
      <c r="BQ263" s="535"/>
      <c r="BR263" s="535"/>
      <c r="BS263" s="535"/>
      <c r="BT263" s="535"/>
      <c r="BU263" s="535"/>
      <c r="BV263" s="535"/>
      <c r="BW263" s="535"/>
      <c r="BX263" s="535"/>
      <c r="BY263" s="535"/>
      <c r="BZ263" s="535"/>
      <c r="CA263" s="535"/>
      <c r="CB263" s="535"/>
      <c r="CC263" s="535"/>
      <c r="CD263" s="410"/>
      <c r="CE263" s="410"/>
      <c r="CF263" s="410"/>
      <c r="CG263" s="410"/>
      <c r="CH263" s="410"/>
      <c r="CI263" s="410"/>
      <c r="CJ263" s="410"/>
      <c r="CK263" s="410"/>
    </row>
    <row r="264" spans="1:89" s="412" customFormat="1" ht="18" customHeight="1" x14ac:dyDescent="0.2">
      <c r="A264" s="2233" t="s">
        <v>862</v>
      </c>
      <c r="B264" s="2234"/>
      <c r="C264" s="1156"/>
      <c r="D264" s="2312"/>
      <c r="E264" s="2313"/>
      <c r="F264" s="439"/>
      <c r="G264" s="436"/>
      <c r="H264" s="1915"/>
      <c r="I264" s="2138"/>
      <c r="J264" s="2162" t="str">
        <f>IF(P264=TRUE,IF(X264=2,F264*G264*H264," ")," ")</f>
        <v xml:space="preserve"> </v>
      </c>
      <c r="K264" s="1932"/>
      <c r="L264" s="2162" t="str">
        <f>IF(P264=TRUE,IF(X264=3,F264*G264*H264," ")," ")</f>
        <v xml:space="preserve"> </v>
      </c>
      <c r="M264" s="1932"/>
      <c r="N264" s="21"/>
      <c r="O264" s="410"/>
      <c r="P264" s="535" t="b">
        <f>AND(F264&gt;0.1,G264&gt;0.1,H264&gt;0.1)</f>
        <v>0</v>
      </c>
      <c r="Q264" s="535" t="b">
        <v>0</v>
      </c>
      <c r="R264" s="585">
        <f t="shared" si="181"/>
        <v>0</v>
      </c>
      <c r="S264" s="535">
        <f t="shared" si="182"/>
        <v>0</v>
      </c>
      <c r="T264" s="535" t="e">
        <f>+(EC88+D156+F39)/365*T258</f>
        <v>#DIV/0!</v>
      </c>
      <c r="U264" s="535" t="s">
        <v>315</v>
      </c>
      <c r="V264" s="535"/>
      <c r="W264" s="535"/>
      <c r="X264" s="535">
        <v>1</v>
      </c>
      <c r="Y264" s="535">
        <f>IF(X264=3,IF(Q264=TRUE,1,0),0)</f>
        <v>0</v>
      </c>
      <c r="Z264" s="535"/>
      <c r="AA264" s="535"/>
      <c r="AB264" s="535"/>
      <c r="AC264" s="535"/>
      <c r="AD264" s="535"/>
      <c r="AE264" s="535"/>
      <c r="AF264" s="535"/>
      <c r="AG264" s="535"/>
      <c r="AH264" s="535"/>
      <c r="AI264" s="535"/>
      <c r="AJ264" s="535"/>
      <c r="AK264" s="535"/>
      <c r="AL264" s="535"/>
      <c r="AM264" s="535"/>
      <c r="AN264" s="535"/>
      <c r="AO264" s="535"/>
      <c r="AP264" s="535"/>
      <c r="AQ264" s="535"/>
      <c r="AR264" s="535"/>
      <c r="AS264" s="535"/>
      <c r="AT264" s="535"/>
      <c r="AU264" s="535"/>
      <c r="AV264" s="535"/>
      <c r="AW264" s="535"/>
      <c r="AX264" s="535"/>
      <c r="AY264" s="535"/>
      <c r="AZ264" s="535"/>
      <c r="BA264" s="535"/>
      <c r="BB264" s="535"/>
      <c r="BC264" s="535"/>
      <c r="BD264" s="535"/>
      <c r="BE264" s="535"/>
      <c r="BF264" s="535"/>
      <c r="BG264" s="535"/>
      <c r="BH264" s="535"/>
      <c r="BI264" s="535"/>
      <c r="BJ264" s="535"/>
      <c r="BK264" s="535"/>
      <c r="BL264" s="535"/>
      <c r="BM264" s="535"/>
      <c r="BN264" s="535"/>
      <c r="BO264" s="535"/>
      <c r="BP264" s="535"/>
      <c r="BQ264" s="535"/>
      <c r="BR264" s="535"/>
      <c r="BS264" s="535"/>
      <c r="BT264" s="535"/>
      <c r="BU264" s="535"/>
      <c r="BV264" s="535"/>
      <c r="BW264" s="535"/>
      <c r="BX264" s="535"/>
      <c r="BY264" s="535"/>
      <c r="BZ264" s="535"/>
      <c r="CA264" s="535"/>
      <c r="CB264" s="535"/>
      <c r="CC264" s="535"/>
      <c r="CD264" s="410"/>
      <c r="CE264" s="410"/>
      <c r="CF264" s="410"/>
      <c r="CG264" s="410"/>
      <c r="CH264" s="410"/>
      <c r="CI264" s="410"/>
      <c r="CJ264" s="410"/>
      <c r="CK264" s="410"/>
    </row>
    <row r="265" spans="1:89" s="412" customFormat="1" ht="18" customHeight="1" x14ac:dyDescent="0.2">
      <c r="A265" s="2233" t="s">
        <v>863</v>
      </c>
      <c r="B265" s="2234"/>
      <c r="C265" s="1156"/>
      <c r="D265" s="2312"/>
      <c r="E265" s="2313"/>
      <c r="F265" s="439"/>
      <c r="G265" s="436"/>
      <c r="H265" s="1915"/>
      <c r="I265" s="2138"/>
      <c r="J265" s="2162" t="str">
        <f>IF(P265=TRUE,IF(X265=2,F265*G265*H265," ")," ")</f>
        <v xml:space="preserve"> </v>
      </c>
      <c r="K265" s="1932"/>
      <c r="L265" s="2162" t="str">
        <f>IF(P265=TRUE,IF(X265=3,F265*G265*H265," ")," ")</f>
        <v xml:space="preserve"> </v>
      </c>
      <c r="M265" s="1932"/>
      <c r="N265" s="21"/>
      <c r="O265" s="410"/>
      <c r="P265" s="535" t="b">
        <f>AND(F265&gt;0.1,G265&gt;0.1,H265&gt;0.1)</f>
        <v>0</v>
      </c>
      <c r="Q265" s="535" t="b">
        <v>0</v>
      </c>
      <c r="R265" s="585">
        <f t="shared" si="181"/>
        <v>0</v>
      </c>
      <c r="S265" s="535">
        <f t="shared" si="182"/>
        <v>0</v>
      </c>
      <c r="T265" s="412" t="s">
        <v>357</v>
      </c>
      <c r="U265" s="535"/>
      <c r="V265" s="535"/>
      <c r="W265" s="535"/>
      <c r="X265" s="535">
        <v>1</v>
      </c>
      <c r="Y265" s="535">
        <f>IF(X265=3,IF(Q265=TRUE,1,0),0)</f>
        <v>0</v>
      </c>
      <c r="Z265" s="535"/>
      <c r="AA265" s="535"/>
      <c r="AB265" s="535"/>
      <c r="AC265" s="535"/>
      <c r="AD265" s="535"/>
      <c r="AE265" s="535"/>
      <c r="AF265" s="535"/>
      <c r="AG265" s="535"/>
      <c r="AH265" s="535"/>
      <c r="AI265" s="535"/>
      <c r="AJ265" s="535"/>
      <c r="AK265" s="535"/>
      <c r="AL265" s="535"/>
      <c r="AM265" s="535"/>
      <c r="AN265" s="535"/>
      <c r="AO265" s="535"/>
      <c r="AP265" s="535"/>
      <c r="AQ265" s="535"/>
      <c r="AR265" s="535"/>
      <c r="AS265" s="535"/>
      <c r="AT265" s="535"/>
      <c r="AU265" s="535"/>
      <c r="AV265" s="535"/>
      <c r="AW265" s="535"/>
      <c r="AX265" s="535"/>
      <c r="AY265" s="535"/>
      <c r="AZ265" s="535"/>
      <c r="BA265" s="535"/>
      <c r="BB265" s="535"/>
      <c r="BC265" s="535"/>
      <c r="BD265" s="535"/>
      <c r="BE265" s="535"/>
      <c r="BF265" s="535"/>
      <c r="BG265" s="535"/>
      <c r="BH265" s="535"/>
      <c r="BI265" s="535"/>
      <c r="BJ265" s="535"/>
      <c r="BK265" s="535"/>
      <c r="BL265" s="535"/>
      <c r="BM265" s="535"/>
      <c r="BN265" s="535"/>
      <c r="BO265" s="535"/>
      <c r="BP265" s="535"/>
      <c r="BQ265" s="535"/>
      <c r="BR265" s="535"/>
      <c r="BS265" s="535"/>
      <c r="BT265" s="535"/>
      <c r="BU265" s="535"/>
      <c r="BV265" s="535"/>
      <c r="BW265" s="535"/>
      <c r="BX265" s="535"/>
      <c r="BY265" s="535"/>
      <c r="BZ265" s="535"/>
      <c r="CA265" s="535"/>
      <c r="CB265" s="535"/>
      <c r="CC265" s="535"/>
      <c r="CD265" s="410"/>
      <c r="CE265" s="410"/>
      <c r="CF265" s="410"/>
      <c r="CG265" s="410"/>
      <c r="CH265" s="410"/>
      <c r="CI265" s="410"/>
      <c r="CJ265" s="410"/>
      <c r="CK265" s="410"/>
    </row>
    <row r="266" spans="1:89" s="412" customFormat="1" ht="18" customHeight="1" thickBot="1" x14ac:dyDescent="0.25">
      <c r="A266" s="2251" t="s">
        <v>327</v>
      </c>
      <c r="B266" s="2252"/>
      <c r="C266" s="1157"/>
      <c r="D266" s="2319"/>
      <c r="E266" s="2320"/>
      <c r="F266" s="440"/>
      <c r="G266" s="437"/>
      <c r="H266" s="2157"/>
      <c r="I266" s="2158"/>
      <c r="J266" s="2186" t="str">
        <f>IF(P266=TRUE,IF(X266=2,F266*G266*H266," ")," ")</f>
        <v xml:space="preserve"> </v>
      </c>
      <c r="K266" s="1935"/>
      <c r="L266" s="2186" t="str">
        <f>IF(P266=TRUE,IF(X266=3,F266*G266*H266," ")," ")</f>
        <v xml:space="preserve"> </v>
      </c>
      <c r="M266" s="1935"/>
      <c r="N266" s="21"/>
      <c r="O266" s="410"/>
      <c r="P266" s="535" t="b">
        <f>AND(F266&gt;0.1,G266&gt;0.1,H266&gt;0.1)</f>
        <v>0</v>
      </c>
      <c r="Q266" s="535" t="b">
        <v>0</v>
      </c>
      <c r="R266" s="585">
        <f t="shared" si="181"/>
        <v>0</v>
      </c>
      <c r="S266" s="535">
        <f t="shared" si="182"/>
        <v>0</v>
      </c>
      <c r="T266" s="535" t="e">
        <f>+R171/365*T258</f>
        <v>#DIV/0!</v>
      </c>
      <c r="U266" s="535"/>
      <c r="V266" s="535"/>
      <c r="W266" s="535"/>
      <c r="X266" s="535">
        <v>1</v>
      </c>
      <c r="Y266" s="535">
        <f>IF(X266=3,IF(Q266=TRUE,1,0),0)</f>
        <v>0</v>
      </c>
      <c r="Z266" s="535"/>
      <c r="AA266" s="535"/>
      <c r="AB266" s="535"/>
      <c r="AC266" s="535"/>
      <c r="AD266" s="535"/>
      <c r="AE266" s="535"/>
      <c r="AF266" s="535"/>
      <c r="AG266" s="535"/>
      <c r="AH266" s="535"/>
      <c r="AI266" s="535"/>
      <c r="AJ266" s="535"/>
      <c r="AK266" s="535"/>
      <c r="AL266" s="535"/>
      <c r="AM266" s="535"/>
      <c r="AN266" s="535"/>
      <c r="AO266" s="535"/>
      <c r="AP266" s="535"/>
      <c r="AQ266" s="535"/>
      <c r="AR266" s="535"/>
      <c r="AS266" s="535"/>
      <c r="AT266" s="535"/>
      <c r="AU266" s="535"/>
      <c r="AV266" s="535"/>
      <c r="AW266" s="535"/>
      <c r="AX266" s="535"/>
      <c r="AY266" s="535"/>
      <c r="AZ266" s="535"/>
      <c r="BA266" s="535"/>
      <c r="BB266" s="535"/>
      <c r="BC266" s="535"/>
      <c r="BD266" s="535"/>
      <c r="BE266" s="535"/>
      <c r="BF266" s="535"/>
      <c r="BG266" s="535"/>
      <c r="BH266" s="535"/>
      <c r="BI266" s="535"/>
      <c r="BJ266" s="535"/>
      <c r="BK266" s="535"/>
      <c r="BL266" s="535"/>
      <c r="BM266" s="535"/>
      <c r="BN266" s="535"/>
      <c r="BO266" s="535"/>
      <c r="BP266" s="535"/>
      <c r="BQ266" s="535"/>
      <c r="BR266" s="535"/>
      <c r="BS266" s="535"/>
      <c r="BT266" s="535"/>
      <c r="BU266" s="535"/>
      <c r="BV266" s="535"/>
      <c r="BW266" s="535"/>
      <c r="BX266" s="535"/>
      <c r="BY266" s="535"/>
      <c r="BZ266" s="535"/>
      <c r="CA266" s="535"/>
      <c r="CB266" s="535"/>
      <c r="CC266" s="535"/>
      <c r="CD266" s="410"/>
      <c r="CE266" s="410"/>
      <c r="CF266" s="410"/>
      <c r="CG266" s="410"/>
      <c r="CH266" s="410"/>
      <c r="CI266" s="410"/>
      <c r="CJ266" s="410"/>
      <c r="CK266" s="410"/>
    </row>
    <row r="267" spans="1:89" s="412" customFormat="1" ht="21" customHeight="1" thickBot="1" x14ac:dyDescent="0.25">
      <c r="A267" s="1857" t="s">
        <v>1041</v>
      </c>
      <c r="B267" s="1858"/>
      <c r="C267" s="1858"/>
      <c r="D267" s="1858"/>
      <c r="E267" s="1858"/>
      <c r="F267" s="1858"/>
      <c r="G267" s="1858"/>
      <c r="H267" s="1858"/>
      <c r="I267" s="1859"/>
      <c r="J267" s="2127"/>
      <c r="K267" s="2128"/>
      <c r="L267" s="2127"/>
      <c r="M267" s="2128"/>
      <c r="N267" s="21"/>
      <c r="O267" s="410"/>
      <c r="P267" s="535"/>
      <c r="Q267" s="535"/>
      <c r="R267" s="535" t="s">
        <v>643</v>
      </c>
      <c r="S267" s="535">
        <f>SUM(S254:S266)</f>
        <v>0</v>
      </c>
      <c r="T267" s="412">
        <f>IF(EC88+D156=0,0,T266+T264)</f>
        <v>0</v>
      </c>
      <c r="U267" s="535"/>
      <c r="V267" s="535"/>
      <c r="W267" s="535"/>
      <c r="X267" s="535"/>
      <c r="Y267" s="535">
        <f>SUM(Y263:Y266)</f>
        <v>0</v>
      </c>
      <c r="Z267" s="535"/>
      <c r="AA267" s="535"/>
      <c r="AB267" s="535"/>
      <c r="AC267" s="535"/>
      <c r="AD267" s="535"/>
      <c r="AE267" s="535"/>
      <c r="AF267" s="535"/>
      <c r="AG267" s="535"/>
      <c r="AH267" s="535"/>
      <c r="AI267" s="535"/>
      <c r="AJ267" s="535"/>
      <c r="AK267" s="535"/>
      <c r="AL267" s="535"/>
      <c r="AM267" s="535"/>
      <c r="AN267" s="535"/>
      <c r="AO267" s="535"/>
      <c r="AP267" s="535"/>
      <c r="AQ267" s="535"/>
      <c r="AR267" s="535"/>
      <c r="AS267" s="535"/>
      <c r="AT267" s="535"/>
      <c r="AU267" s="535"/>
      <c r="AV267" s="535"/>
      <c r="AW267" s="535"/>
      <c r="AX267" s="535"/>
      <c r="AY267" s="535"/>
      <c r="AZ267" s="535"/>
      <c r="BA267" s="535"/>
      <c r="BB267" s="535"/>
      <c r="BC267" s="535"/>
      <c r="BD267" s="535"/>
      <c r="BE267" s="535"/>
      <c r="BF267" s="535"/>
      <c r="BG267" s="535"/>
      <c r="BH267" s="535"/>
      <c r="BI267" s="535"/>
      <c r="BJ267" s="535"/>
      <c r="BK267" s="535"/>
      <c r="BL267" s="535"/>
      <c r="BM267" s="535"/>
      <c r="BN267" s="535"/>
      <c r="BO267" s="535"/>
      <c r="BP267" s="535"/>
      <c r="BQ267" s="535"/>
      <c r="BR267" s="535"/>
      <c r="BS267" s="535"/>
      <c r="BT267" s="535"/>
      <c r="BU267" s="535"/>
      <c r="BV267" s="535"/>
      <c r="BW267" s="535"/>
      <c r="BX267" s="535"/>
      <c r="BY267" s="535"/>
      <c r="BZ267" s="535"/>
      <c r="CA267" s="535"/>
      <c r="CB267" s="535"/>
      <c r="CC267" s="535"/>
      <c r="CD267" s="410"/>
      <c r="CE267" s="410"/>
      <c r="CF267" s="410"/>
      <c r="CG267" s="410"/>
      <c r="CH267" s="410"/>
      <c r="CI267" s="410"/>
      <c r="CJ267" s="410"/>
      <c r="CK267" s="410"/>
    </row>
    <row r="268" spans="1:89" s="412" customFormat="1" ht="18" customHeight="1" x14ac:dyDescent="0.2">
      <c r="A268" s="1158" t="s">
        <v>861</v>
      </c>
      <c r="B268" s="2314"/>
      <c r="C268" s="2315"/>
      <c r="D268" s="2315"/>
      <c r="E268" s="2315"/>
      <c r="F268" s="2315"/>
      <c r="G268" s="2315"/>
      <c r="H268" s="2315"/>
      <c r="I268" s="2316"/>
      <c r="J268" s="2129"/>
      <c r="K268" s="2130"/>
      <c r="L268" s="2129"/>
      <c r="M268" s="2130"/>
      <c r="N268" s="21"/>
      <c r="O268" s="410"/>
      <c r="P268" s="535"/>
      <c r="R268" s="535" t="s">
        <v>994</v>
      </c>
      <c r="S268" s="535">
        <f>MAX(S267:T267)</f>
        <v>0</v>
      </c>
      <c r="T268" s="535"/>
      <c r="U268" s="535"/>
      <c r="V268" s="535"/>
      <c r="W268" s="535"/>
      <c r="X268" s="535"/>
      <c r="Y268" s="535"/>
      <c r="Z268" s="535"/>
      <c r="AA268" s="535"/>
      <c r="AB268" s="535"/>
      <c r="AC268" s="535"/>
      <c r="AD268" s="535"/>
      <c r="AE268" s="535"/>
      <c r="AF268" s="535"/>
      <c r="AG268" s="535"/>
      <c r="AH268" s="535"/>
      <c r="AI268" s="535"/>
      <c r="AJ268" s="535"/>
      <c r="AK268" s="535"/>
      <c r="AL268" s="535"/>
      <c r="AM268" s="535"/>
      <c r="AN268" s="535"/>
      <c r="AO268" s="535"/>
      <c r="AP268" s="535"/>
      <c r="AQ268" s="535"/>
      <c r="AR268" s="535"/>
      <c r="AS268" s="535"/>
      <c r="AT268" s="535"/>
      <c r="AU268" s="535"/>
      <c r="AV268" s="535"/>
      <c r="AW268" s="535"/>
      <c r="AX268" s="535"/>
      <c r="AY268" s="535"/>
      <c r="AZ268" s="535"/>
      <c r="BA268" s="535"/>
      <c r="BB268" s="535"/>
      <c r="BC268" s="535"/>
      <c r="BD268" s="535"/>
      <c r="BE268" s="535"/>
      <c r="BF268" s="535"/>
      <c r="BG268" s="535"/>
      <c r="BH268" s="535"/>
      <c r="BI268" s="535"/>
      <c r="BJ268" s="535"/>
      <c r="BK268" s="535"/>
      <c r="BL268" s="535"/>
      <c r="BM268" s="535"/>
      <c r="BN268" s="535"/>
      <c r="BO268" s="535"/>
      <c r="BP268" s="535"/>
      <c r="BQ268" s="535"/>
      <c r="BR268" s="535"/>
      <c r="BS268" s="535"/>
      <c r="BT268" s="535"/>
      <c r="BU268" s="535"/>
      <c r="BV268" s="535"/>
      <c r="BW268" s="535"/>
      <c r="BX268" s="535"/>
      <c r="BY268" s="535"/>
      <c r="BZ268" s="535"/>
      <c r="CA268" s="535"/>
      <c r="CB268" s="535"/>
      <c r="CC268" s="535"/>
      <c r="CD268" s="410"/>
      <c r="CE268" s="410"/>
      <c r="CF268" s="410"/>
      <c r="CG268" s="410"/>
      <c r="CH268" s="410"/>
      <c r="CI268" s="410"/>
      <c r="CJ268" s="410"/>
      <c r="CK268" s="410"/>
    </row>
    <row r="269" spans="1:89" s="412" customFormat="1" ht="18" customHeight="1" x14ac:dyDescent="0.2">
      <c r="A269" s="1159" t="s">
        <v>862</v>
      </c>
      <c r="B269" s="2213"/>
      <c r="C269" s="2214"/>
      <c r="D269" s="2214"/>
      <c r="E269" s="2214"/>
      <c r="F269" s="2214"/>
      <c r="G269" s="2214"/>
      <c r="H269" s="2214"/>
      <c r="I269" s="2215"/>
      <c r="J269" s="2195"/>
      <c r="K269" s="2196"/>
      <c r="L269" s="2195"/>
      <c r="M269" s="2196"/>
      <c r="N269" s="21"/>
      <c r="O269" s="410"/>
      <c r="P269" s="535"/>
      <c r="Q269" s="535"/>
      <c r="R269" s="535"/>
      <c r="S269" s="535"/>
      <c r="T269" s="535"/>
      <c r="U269" s="535"/>
      <c r="V269" s="535"/>
      <c r="W269" s="535"/>
      <c r="X269" s="535"/>
      <c r="Y269" s="535"/>
      <c r="Z269" s="535"/>
      <c r="AA269" s="535"/>
      <c r="AB269" s="535"/>
      <c r="AC269" s="535"/>
      <c r="AD269" s="535"/>
      <c r="AE269" s="535"/>
      <c r="AF269" s="535"/>
      <c r="AG269" s="535"/>
      <c r="AH269" s="535"/>
      <c r="AI269" s="535"/>
      <c r="AJ269" s="535"/>
      <c r="AK269" s="535"/>
      <c r="AL269" s="535"/>
      <c r="AM269" s="535"/>
      <c r="AN269" s="535"/>
      <c r="AO269" s="535"/>
      <c r="AP269" s="535"/>
      <c r="AQ269" s="535"/>
      <c r="AR269" s="535"/>
      <c r="AS269" s="535"/>
      <c r="AT269" s="535"/>
      <c r="AU269" s="535"/>
      <c r="AV269" s="535"/>
      <c r="AW269" s="535"/>
      <c r="AX269" s="535"/>
      <c r="AY269" s="535"/>
      <c r="AZ269" s="535"/>
      <c r="BA269" s="535"/>
      <c r="BB269" s="535"/>
      <c r="BC269" s="535"/>
      <c r="BD269" s="535"/>
      <c r="BE269" s="535"/>
      <c r="BF269" s="535"/>
      <c r="BG269" s="535"/>
      <c r="BH269" s="535"/>
      <c r="BI269" s="535"/>
      <c r="BJ269" s="535"/>
      <c r="BK269" s="535"/>
      <c r="BL269" s="535"/>
      <c r="BM269" s="535"/>
      <c r="BN269" s="535"/>
      <c r="BO269" s="535"/>
      <c r="BP269" s="535"/>
      <c r="BQ269" s="535"/>
      <c r="BR269" s="535"/>
      <c r="BS269" s="535"/>
      <c r="BT269" s="535"/>
      <c r="BU269" s="535"/>
      <c r="BV269" s="535"/>
      <c r="BW269" s="535"/>
      <c r="BX269" s="535"/>
      <c r="BY269" s="535"/>
      <c r="BZ269" s="535"/>
      <c r="CA269" s="535"/>
      <c r="CB269" s="535"/>
      <c r="CC269" s="535"/>
      <c r="CD269" s="410"/>
      <c r="CE269" s="410"/>
      <c r="CF269" s="410"/>
      <c r="CG269" s="410"/>
      <c r="CH269" s="410"/>
      <c r="CI269" s="410"/>
      <c r="CJ269" s="410"/>
      <c r="CK269" s="410"/>
    </row>
    <row r="270" spans="1:89" s="412" customFormat="1" ht="18" customHeight="1" x14ac:dyDescent="0.2">
      <c r="A270" s="1159" t="s">
        <v>863</v>
      </c>
      <c r="B270" s="2213"/>
      <c r="C270" s="2214"/>
      <c r="D270" s="2214"/>
      <c r="E270" s="2214"/>
      <c r="F270" s="2214"/>
      <c r="G270" s="2214"/>
      <c r="H270" s="2214"/>
      <c r="I270" s="2215"/>
      <c r="J270" s="2195"/>
      <c r="K270" s="2196"/>
      <c r="L270" s="2195"/>
      <c r="M270" s="2196"/>
      <c r="N270" s="21"/>
      <c r="O270" s="410"/>
      <c r="P270" s="535"/>
      <c r="Q270" s="535"/>
      <c r="R270" s="535"/>
      <c r="S270" s="535"/>
      <c r="T270" s="535"/>
      <c r="U270" s="535"/>
      <c r="V270" s="535"/>
      <c r="W270" s="535"/>
      <c r="X270" s="535"/>
      <c r="Y270" s="535"/>
      <c r="Z270" s="535"/>
      <c r="AA270" s="535"/>
      <c r="AB270" s="535"/>
      <c r="AC270" s="535"/>
      <c r="AD270" s="535"/>
      <c r="AE270" s="535"/>
      <c r="AF270" s="535"/>
      <c r="AG270" s="535"/>
      <c r="AH270" s="535"/>
      <c r="AI270" s="535"/>
      <c r="AJ270" s="535"/>
      <c r="AK270" s="535"/>
      <c r="AL270" s="535"/>
      <c r="AM270" s="535"/>
      <c r="AN270" s="535"/>
      <c r="AO270" s="535"/>
      <c r="AP270" s="535"/>
      <c r="AQ270" s="535"/>
      <c r="AR270" s="535"/>
      <c r="AS270" s="535"/>
      <c r="AT270" s="535"/>
      <c r="AU270" s="535"/>
      <c r="AV270" s="535"/>
      <c r="AW270" s="535"/>
      <c r="AX270" s="535"/>
      <c r="AY270" s="535"/>
      <c r="AZ270" s="535"/>
      <c r="BA270" s="535"/>
      <c r="BB270" s="535"/>
      <c r="BC270" s="535"/>
      <c r="BD270" s="535"/>
      <c r="BE270" s="535"/>
      <c r="BF270" s="535"/>
      <c r="BG270" s="535"/>
      <c r="BH270" s="535"/>
      <c r="BI270" s="535"/>
      <c r="BJ270" s="535"/>
      <c r="BK270" s="535"/>
      <c r="BL270" s="535"/>
      <c r="BM270" s="535"/>
      <c r="BN270" s="535"/>
      <c r="BO270" s="535"/>
      <c r="BP270" s="535"/>
      <c r="BQ270" s="535"/>
      <c r="BR270" s="535"/>
      <c r="BS270" s="535"/>
      <c r="BT270" s="535"/>
      <c r="BU270" s="535"/>
      <c r="BV270" s="535"/>
      <c r="BW270" s="535"/>
      <c r="BX270" s="535"/>
      <c r="BY270" s="535"/>
      <c r="BZ270" s="535"/>
      <c r="CA270" s="535"/>
      <c r="CB270" s="535"/>
      <c r="CC270" s="535"/>
      <c r="CD270" s="410"/>
      <c r="CE270" s="410"/>
      <c r="CF270" s="410"/>
      <c r="CG270" s="410"/>
      <c r="CH270" s="410"/>
      <c r="CI270" s="410"/>
      <c r="CJ270" s="410"/>
      <c r="CK270" s="410"/>
    </row>
    <row r="271" spans="1:89" s="412" customFormat="1" ht="18" customHeight="1" thickBot="1" x14ac:dyDescent="0.25">
      <c r="A271" s="1160" t="s">
        <v>327</v>
      </c>
      <c r="B271" s="2224"/>
      <c r="C271" s="2225"/>
      <c r="D271" s="2225"/>
      <c r="E271" s="2225"/>
      <c r="F271" s="2225"/>
      <c r="G271" s="2225"/>
      <c r="H271" s="2225"/>
      <c r="I271" s="2226"/>
      <c r="J271" s="2204"/>
      <c r="K271" s="2205"/>
      <c r="L271" s="2204"/>
      <c r="M271" s="2205"/>
      <c r="N271" s="21"/>
      <c r="O271" s="410"/>
      <c r="P271" s="535"/>
      <c r="Q271" s="535"/>
      <c r="R271" s="535"/>
      <c r="S271" s="535"/>
      <c r="T271" s="535"/>
      <c r="U271" s="535"/>
      <c r="V271" s="535"/>
      <c r="W271" s="535"/>
      <c r="X271" s="535"/>
      <c r="Y271" s="535"/>
      <c r="Z271" s="535"/>
      <c r="AA271" s="535"/>
      <c r="AB271" s="535"/>
      <c r="AC271" s="535"/>
      <c r="AD271" s="535"/>
      <c r="AE271" s="535"/>
      <c r="AF271" s="535"/>
      <c r="AG271" s="535"/>
      <c r="AH271" s="535"/>
      <c r="AI271" s="535"/>
      <c r="AJ271" s="535"/>
      <c r="AK271" s="535"/>
      <c r="AL271" s="535"/>
      <c r="AM271" s="535"/>
      <c r="AN271" s="535"/>
      <c r="AO271" s="535"/>
      <c r="AP271" s="535"/>
      <c r="AQ271" s="535"/>
      <c r="AR271" s="535"/>
      <c r="AS271" s="535"/>
      <c r="AT271" s="535"/>
      <c r="AU271" s="535"/>
      <c r="AV271" s="535"/>
      <c r="AW271" s="535"/>
      <c r="AX271" s="535"/>
      <c r="AY271" s="535"/>
      <c r="AZ271" s="535"/>
      <c r="BA271" s="535"/>
      <c r="BB271" s="535"/>
      <c r="BC271" s="535"/>
      <c r="BD271" s="535"/>
      <c r="BE271" s="535"/>
      <c r="BF271" s="535"/>
      <c r="BG271" s="535"/>
      <c r="BH271" s="535"/>
      <c r="BI271" s="535"/>
      <c r="BJ271" s="535"/>
      <c r="BK271" s="535"/>
      <c r="BL271" s="535"/>
      <c r="BM271" s="535"/>
      <c r="BN271" s="535"/>
      <c r="BO271" s="535"/>
      <c r="BP271" s="535"/>
      <c r="BQ271" s="535"/>
      <c r="BR271" s="535"/>
      <c r="BS271" s="535"/>
      <c r="BT271" s="535"/>
      <c r="BU271" s="535"/>
      <c r="BV271" s="535"/>
      <c r="BW271" s="535"/>
      <c r="BX271" s="535"/>
      <c r="BY271" s="535"/>
      <c r="BZ271" s="535"/>
      <c r="CA271" s="535"/>
      <c r="CB271" s="535"/>
      <c r="CC271" s="535"/>
      <c r="CD271" s="410"/>
      <c r="CE271" s="410"/>
      <c r="CF271" s="410"/>
      <c r="CG271" s="410"/>
      <c r="CH271" s="410"/>
      <c r="CI271" s="410"/>
      <c r="CJ271" s="410"/>
      <c r="CK271" s="410"/>
    </row>
    <row r="272" spans="1:89" s="408" customFormat="1" ht="20.25" customHeight="1" x14ac:dyDescent="0.2">
      <c r="A272" s="421" t="s">
        <v>328</v>
      </c>
      <c r="B272" s="1520"/>
      <c r="C272" s="1520"/>
      <c r="D272" s="1520"/>
      <c r="E272" s="1521" t="str">
        <f>IF(AA279&gt;1,"Verpacht mit Vorzeichen minus"," ")</f>
        <v xml:space="preserve"> </v>
      </c>
      <c r="F272" s="1522"/>
      <c r="G272" s="1522"/>
      <c r="H272" s="1522"/>
      <c r="I272" s="1522"/>
      <c r="J272" s="2035"/>
      <c r="K272" s="2036"/>
      <c r="L272" s="2035"/>
      <c r="M272" s="2036"/>
      <c r="N272" s="27"/>
      <c r="O272" s="417"/>
      <c r="P272" s="604"/>
      <c r="Q272" s="604"/>
      <c r="R272" s="604"/>
      <c r="S272" s="604"/>
      <c r="T272" s="604"/>
      <c r="U272" s="604"/>
      <c r="V272" s="604"/>
      <c r="W272" s="604"/>
      <c r="X272" s="604"/>
      <c r="Y272" s="604"/>
      <c r="Z272" s="604"/>
      <c r="AA272" s="604"/>
      <c r="AB272" s="604"/>
      <c r="AC272" s="604"/>
      <c r="AD272" s="604"/>
      <c r="AE272" s="604"/>
      <c r="AF272" s="604"/>
      <c r="AG272" s="604"/>
      <c r="AH272" s="604"/>
      <c r="AI272" s="604"/>
      <c r="AJ272" s="604"/>
      <c r="AK272" s="604"/>
      <c r="AL272" s="604"/>
      <c r="AM272" s="604"/>
      <c r="AN272" s="604"/>
      <c r="AO272" s="604"/>
      <c r="AP272" s="604"/>
      <c r="AQ272" s="604"/>
      <c r="AR272" s="604"/>
      <c r="AS272" s="604"/>
      <c r="AT272" s="604"/>
      <c r="AU272" s="604"/>
      <c r="AV272" s="604"/>
      <c r="AW272" s="604"/>
      <c r="AX272" s="604"/>
      <c r="AY272" s="604"/>
      <c r="AZ272" s="604"/>
      <c r="BA272" s="604"/>
      <c r="BB272" s="604"/>
      <c r="BC272" s="604"/>
      <c r="BD272" s="604"/>
      <c r="BE272" s="604"/>
      <c r="BF272" s="604"/>
      <c r="BG272" s="604"/>
      <c r="BH272" s="604"/>
      <c r="BI272" s="604"/>
      <c r="BJ272" s="604"/>
      <c r="BK272" s="604"/>
      <c r="BL272" s="604"/>
      <c r="BM272" s="604"/>
      <c r="BN272" s="604"/>
      <c r="BO272" s="604"/>
      <c r="BP272" s="604"/>
      <c r="BQ272" s="604"/>
      <c r="BR272" s="604"/>
      <c r="BS272" s="604"/>
      <c r="BT272" s="604"/>
      <c r="BU272" s="604"/>
      <c r="BV272" s="604"/>
      <c r="BW272" s="604"/>
      <c r="BX272" s="604"/>
      <c r="BY272" s="604"/>
      <c r="BZ272" s="604"/>
      <c r="CA272" s="604"/>
      <c r="CB272" s="604"/>
      <c r="CC272" s="604"/>
      <c r="CD272" s="417"/>
      <c r="CE272" s="417"/>
      <c r="CF272" s="417"/>
      <c r="CG272" s="417"/>
      <c r="CH272" s="417"/>
      <c r="CI272" s="417"/>
      <c r="CJ272" s="417"/>
      <c r="CK272" s="417"/>
    </row>
    <row r="273" spans="1:93" s="412" customFormat="1" ht="19.5" customHeight="1" thickBot="1" x14ac:dyDescent="0.25">
      <c r="A273" s="1523" t="s">
        <v>326</v>
      </c>
      <c r="B273" s="1523" t="s">
        <v>1042</v>
      </c>
      <c r="C273" s="1524"/>
      <c r="D273" s="1524"/>
      <c r="E273" s="1333"/>
      <c r="F273" s="1333"/>
      <c r="G273" s="1333"/>
      <c r="H273" s="1333"/>
      <c r="I273" s="1333"/>
      <c r="J273" s="2187"/>
      <c r="K273" s="2188"/>
      <c r="L273" s="2187"/>
      <c r="M273" s="2188"/>
      <c r="N273" s="22"/>
      <c r="O273" s="411"/>
      <c r="P273" s="585"/>
      <c r="Q273" s="585"/>
      <c r="R273" s="585"/>
      <c r="S273" s="585"/>
      <c r="T273" s="585"/>
      <c r="U273" s="585"/>
      <c r="V273" s="585"/>
      <c r="W273" s="585"/>
      <c r="X273" s="585">
        <v>1</v>
      </c>
      <c r="Y273" s="585"/>
      <c r="Z273" s="585"/>
      <c r="AA273" s="585"/>
      <c r="AB273" s="585"/>
      <c r="AC273" s="585"/>
      <c r="AD273" s="585"/>
      <c r="AE273" s="585"/>
      <c r="AF273" s="585"/>
      <c r="AG273" s="585"/>
      <c r="AH273" s="585"/>
      <c r="AI273" s="585"/>
      <c r="AJ273" s="585"/>
      <c r="AK273" s="585"/>
      <c r="AL273" s="585"/>
      <c r="AM273" s="585"/>
      <c r="AN273" s="585"/>
      <c r="AO273" s="585"/>
      <c r="AP273" s="585"/>
      <c r="AQ273" s="585"/>
      <c r="AR273" s="585"/>
      <c r="AS273" s="585"/>
      <c r="AT273" s="585"/>
      <c r="AU273" s="585"/>
      <c r="AV273" s="585"/>
      <c r="AW273" s="585"/>
      <c r="AX273" s="585"/>
      <c r="AY273" s="535"/>
      <c r="AZ273" s="535"/>
      <c r="BA273" s="535"/>
      <c r="BB273" s="535"/>
      <c r="BC273" s="535"/>
      <c r="BD273" s="535"/>
      <c r="BE273" s="535"/>
      <c r="BF273" s="535"/>
      <c r="BG273" s="535"/>
      <c r="BH273" s="535"/>
      <c r="BI273" s="535"/>
      <c r="BJ273" s="535"/>
      <c r="BK273" s="535"/>
      <c r="BL273" s="535"/>
      <c r="BM273" s="535"/>
      <c r="BN273" s="535"/>
      <c r="BO273" s="535"/>
      <c r="BP273" s="535"/>
      <c r="BQ273" s="535"/>
      <c r="BR273" s="535"/>
      <c r="BS273" s="535"/>
      <c r="BT273" s="535"/>
      <c r="BU273" s="535"/>
      <c r="BV273" s="535"/>
      <c r="BW273" s="535"/>
      <c r="BX273" s="535"/>
      <c r="BY273" s="535"/>
      <c r="BZ273" s="535"/>
      <c r="CA273" s="535"/>
      <c r="CB273" s="535"/>
      <c r="CC273" s="535"/>
      <c r="CD273" s="410"/>
      <c r="CE273" s="410"/>
      <c r="CF273" s="410"/>
      <c r="CG273" s="410"/>
      <c r="CH273" s="410"/>
      <c r="CI273" s="410"/>
      <c r="CJ273" s="410"/>
      <c r="CK273" s="410"/>
    </row>
    <row r="274" spans="1:93" s="412" customFormat="1" ht="18" customHeight="1" x14ac:dyDescent="0.2">
      <c r="A274" s="327"/>
      <c r="B274" s="2221"/>
      <c r="C274" s="2222"/>
      <c r="D274" s="2222"/>
      <c r="E274" s="2222"/>
      <c r="F274" s="2222"/>
      <c r="G274" s="2222"/>
      <c r="H274" s="2222"/>
      <c r="I274" s="2223"/>
      <c r="J274" s="2129"/>
      <c r="K274" s="2130"/>
      <c r="L274" s="2280"/>
      <c r="M274" s="2281"/>
      <c r="N274" s="22"/>
      <c r="O274" s="411"/>
      <c r="P274" s="585"/>
      <c r="Q274" s="585"/>
      <c r="R274" s="585"/>
      <c r="S274" s="585"/>
      <c r="T274" s="585"/>
      <c r="U274" s="535" t="s">
        <v>23</v>
      </c>
      <c r="V274" s="585"/>
      <c r="W274" s="585"/>
      <c r="X274" s="585">
        <v>3</v>
      </c>
      <c r="Y274" s="585"/>
      <c r="Z274" s="585"/>
      <c r="AA274" s="585">
        <f>IF(X274=3,IF(J274&gt;0,99,IF(L274&gt;0,99,0)),0)</f>
        <v>0</v>
      </c>
      <c r="AB274" s="585">
        <f>IF(X274=1,IF(J274&gt;0,99,IF(L274&gt;0,99,0)),0)</f>
        <v>0</v>
      </c>
      <c r="AC274" s="585">
        <f>IF(X274=1,IF(J274&lt;0,99,IF(L274&lt;0,99,0)),0)</f>
        <v>0</v>
      </c>
      <c r="AD274" s="585"/>
      <c r="AE274" s="585"/>
      <c r="AF274" s="585"/>
      <c r="AG274" s="585"/>
      <c r="AH274" s="585"/>
      <c r="AI274" s="585"/>
      <c r="AJ274" s="585"/>
      <c r="AK274" s="585"/>
      <c r="AL274" s="585"/>
      <c r="AM274" s="585"/>
      <c r="AN274" s="585"/>
      <c r="AO274" s="585"/>
      <c r="AP274" s="585"/>
      <c r="AQ274" s="585"/>
      <c r="AR274" s="585"/>
      <c r="AS274" s="585"/>
      <c r="AT274" s="585"/>
      <c r="AU274" s="585"/>
      <c r="AV274" s="585"/>
      <c r="AW274" s="585"/>
      <c r="AX274" s="585"/>
      <c r="AY274" s="535"/>
      <c r="AZ274" s="535"/>
      <c r="BA274" s="535"/>
      <c r="BB274" s="535"/>
      <c r="BC274" s="535"/>
      <c r="BD274" s="535"/>
      <c r="BE274" s="535"/>
      <c r="BF274" s="535"/>
      <c r="BG274" s="535"/>
      <c r="BH274" s="535"/>
      <c r="BI274" s="535"/>
      <c r="BJ274" s="535"/>
      <c r="BK274" s="535"/>
      <c r="BL274" s="535"/>
      <c r="BM274" s="535"/>
      <c r="BN274" s="535"/>
      <c r="BO274" s="535"/>
      <c r="BP274" s="535"/>
      <c r="BQ274" s="535"/>
      <c r="BR274" s="535"/>
      <c r="BS274" s="535"/>
      <c r="BT274" s="535"/>
      <c r="BU274" s="535"/>
      <c r="BV274" s="535"/>
      <c r="BW274" s="535"/>
      <c r="BX274" s="535"/>
      <c r="BY274" s="535"/>
      <c r="BZ274" s="535"/>
      <c r="CA274" s="535"/>
      <c r="CB274" s="535"/>
      <c r="CC274" s="535"/>
      <c r="CD274" s="410"/>
      <c r="CE274" s="410"/>
      <c r="CF274" s="410"/>
      <c r="CG274" s="410"/>
      <c r="CH274" s="410"/>
      <c r="CI274" s="410"/>
      <c r="CJ274" s="410"/>
      <c r="CK274" s="410"/>
    </row>
    <row r="275" spans="1:93" s="412" customFormat="1" ht="18" customHeight="1" x14ac:dyDescent="0.2">
      <c r="A275" s="328"/>
      <c r="B275" s="1907"/>
      <c r="C275" s="1908"/>
      <c r="D275" s="1908"/>
      <c r="E275" s="1908"/>
      <c r="F275" s="1908"/>
      <c r="G275" s="1908"/>
      <c r="H275" s="1908"/>
      <c r="I275" s="1909"/>
      <c r="J275" s="2195"/>
      <c r="K275" s="2196"/>
      <c r="L275" s="2195"/>
      <c r="M275" s="2196"/>
      <c r="N275" s="22"/>
      <c r="O275" s="411"/>
      <c r="P275" s="585"/>
      <c r="Q275" s="585"/>
      <c r="R275" s="585"/>
      <c r="S275" s="585"/>
      <c r="T275" s="585"/>
      <c r="U275" s="535" t="s">
        <v>339</v>
      </c>
      <c r="V275" s="585"/>
      <c r="W275" s="585"/>
      <c r="X275" s="585">
        <v>3</v>
      </c>
      <c r="Y275" s="585"/>
      <c r="Z275" s="585"/>
      <c r="AA275" s="585">
        <f>IF(X275=3,IF(J275&gt;0,99,IF(L275&gt;0,99,0)),0)</f>
        <v>0</v>
      </c>
      <c r="AB275" s="585">
        <f>IF(X275=1,IF(J275&gt;0,99,IF(L275&gt;0,99,0)),0)</f>
        <v>0</v>
      </c>
      <c r="AC275" s="585">
        <f>IF(X275=1,IF(J275&lt;0,99,IF(L275&lt;0,99,0)),0)</f>
        <v>0</v>
      </c>
      <c r="AD275" s="585"/>
      <c r="AE275" s="585"/>
      <c r="AF275" s="585"/>
      <c r="AG275" s="585"/>
      <c r="AH275" s="585"/>
      <c r="AI275" s="585"/>
      <c r="AJ275" s="585"/>
      <c r="AK275" s="585"/>
      <c r="AL275" s="585"/>
      <c r="AM275" s="585"/>
      <c r="AN275" s="585"/>
      <c r="AO275" s="585"/>
      <c r="AP275" s="585"/>
      <c r="AQ275" s="585"/>
      <c r="AR275" s="585"/>
      <c r="AS275" s="585"/>
      <c r="AT275" s="585"/>
      <c r="AU275" s="585"/>
      <c r="AV275" s="585"/>
      <c r="AW275" s="585"/>
      <c r="AX275" s="585"/>
      <c r="AY275" s="535"/>
      <c r="AZ275" s="535"/>
      <c r="BA275" s="535"/>
      <c r="BB275" s="535"/>
      <c r="BC275" s="535"/>
      <c r="BD275" s="535"/>
      <c r="BE275" s="535"/>
      <c r="BF275" s="535"/>
      <c r="BG275" s="535"/>
      <c r="BH275" s="535"/>
      <c r="BI275" s="535"/>
      <c r="BJ275" s="535"/>
      <c r="BK275" s="535"/>
      <c r="BL275" s="535"/>
      <c r="BM275" s="535"/>
      <c r="BN275" s="535"/>
      <c r="BO275" s="535"/>
      <c r="BP275" s="535"/>
      <c r="BQ275" s="535"/>
      <c r="BR275" s="535"/>
      <c r="BS275" s="535"/>
      <c r="BT275" s="535"/>
      <c r="BU275" s="535"/>
      <c r="BV275" s="535"/>
      <c r="BW275" s="535"/>
      <c r="BX275" s="535"/>
      <c r="BY275" s="535"/>
      <c r="BZ275" s="535"/>
      <c r="CA275" s="535"/>
      <c r="CB275" s="535"/>
      <c r="CC275" s="535"/>
      <c r="CD275" s="410"/>
      <c r="CE275" s="410"/>
      <c r="CF275" s="410"/>
      <c r="CG275" s="410"/>
      <c r="CH275" s="410"/>
      <c r="CI275" s="410"/>
      <c r="CJ275" s="410"/>
      <c r="CK275" s="410"/>
    </row>
    <row r="276" spans="1:93" s="412" customFormat="1" ht="18" customHeight="1" x14ac:dyDescent="0.2">
      <c r="A276" s="328"/>
      <c r="B276" s="1907"/>
      <c r="C276" s="1908"/>
      <c r="D276" s="1908"/>
      <c r="E276" s="1908"/>
      <c r="F276" s="1908"/>
      <c r="G276" s="1908"/>
      <c r="H276" s="1908"/>
      <c r="I276" s="1909"/>
      <c r="J276" s="2195"/>
      <c r="K276" s="2196"/>
      <c r="L276" s="2195"/>
      <c r="M276" s="2196"/>
      <c r="N276" s="22"/>
      <c r="O276" s="411"/>
      <c r="P276" s="585"/>
      <c r="Q276" s="585"/>
      <c r="R276" s="585"/>
      <c r="S276" s="585"/>
      <c r="T276" s="585"/>
      <c r="U276" s="535" t="s">
        <v>340</v>
      </c>
      <c r="V276" s="585"/>
      <c r="W276" s="585"/>
      <c r="X276" s="585">
        <v>3</v>
      </c>
      <c r="Y276" s="585"/>
      <c r="Z276" s="585"/>
      <c r="AA276" s="585">
        <f>IF(X276=3,IF(J276&gt;0,99,IF(L276&gt;0,99,0)),0)</f>
        <v>0</v>
      </c>
      <c r="AB276" s="585">
        <f>IF(X276=1,IF(J276&gt;0,99,IF(L276&gt;0,99,0)),0)</f>
        <v>0</v>
      </c>
      <c r="AC276" s="585">
        <f>IF(X276=1,IF(J276&lt;0,99,IF(L276&lt;0,99,0)),0)</f>
        <v>0</v>
      </c>
      <c r="AD276" s="585"/>
      <c r="AE276" s="585"/>
      <c r="AF276" s="585"/>
      <c r="AG276" s="585"/>
      <c r="AH276" s="585"/>
      <c r="AI276" s="585"/>
      <c r="AJ276" s="585"/>
      <c r="AK276" s="585"/>
      <c r="AL276" s="585"/>
      <c r="AM276" s="585"/>
      <c r="AN276" s="585"/>
      <c r="AO276" s="585"/>
      <c r="AP276" s="585"/>
      <c r="AQ276" s="585"/>
      <c r="AR276" s="585"/>
      <c r="AS276" s="585"/>
      <c r="AT276" s="585"/>
      <c r="AU276" s="585"/>
      <c r="AV276" s="585"/>
      <c r="AW276" s="585"/>
      <c r="AX276" s="585"/>
      <c r="AY276" s="535"/>
      <c r="AZ276" s="535"/>
      <c r="BA276" s="535"/>
      <c r="BB276" s="535"/>
      <c r="BC276" s="535"/>
      <c r="BD276" s="535"/>
      <c r="BE276" s="535"/>
      <c r="BF276" s="535"/>
      <c r="BG276" s="535"/>
      <c r="BH276" s="535"/>
      <c r="BI276" s="535"/>
      <c r="BJ276" s="535"/>
      <c r="BK276" s="535"/>
      <c r="BL276" s="535"/>
      <c r="BM276" s="535"/>
      <c r="BN276" s="535"/>
      <c r="BO276" s="535"/>
      <c r="BP276" s="535"/>
      <c r="BQ276" s="535"/>
      <c r="BR276" s="535"/>
      <c r="BS276" s="535"/>
      <c r="BT276" s="535"/>
      <c r="BU276" s="535"/>
      <c r="BV276" s="535"/>
      <c r="BW276" s="535"/>
      <c r="BX276" s="535"/>
      <c r="BY276" s="535"/>
      <c r="BZ276" s="535"/>
      <c r="CA276" s="535"/>
      <c r="CB276" s="535"/>
      <c r="CC276" s="535"/>
      <c r="CD276" s="410"/>
      <c r="CE276" s="410"/>
      <c r="CF276" s="410"/>
      <c r="CG276" s="410"/>
      <c r="CH276" s="410"/>
      <c r="CI276" s="410"/>
      <c r="CJ276" s="410"/>
      <c r="CK276" s="410"/>
    </row>
    <row r="277" spans="1:93" s="412" customFormat="1" ht="18" customHeight="1" x14ac:dyDescent="0.2">
      <c r="A277" s="328"/>
      <c r="B277" s="1907"/>
      <c r="C277" s="1908"/>
      <c r="D277" s="1908"/>
      <c r="E277" s="1908"/>
      <c r="F277" s="1908"/>
      <c r="G277" s="1908"/>
      <c r="H277" s="1908"/>
      <c r="I277" s="1909"/>
      <c r="J277" s="2195"/>
      <c r="K277" s="2196"/>
      <c r="L277" s="2195"/>
      <c r="M277" s="2196"/>
      <c r="N277" s="22"/>
      <c r="O277" s="411"/>
      <c r="P277" s="585"/>
      <c r="Q277" s="585"/>
      <c r="R277" s="585"/>
      <c r="S277" s="585"/>
      <c r="T277" s="585"/>
      <c r="U277" s="535"/>
      <c r="V277" s="585"/>
      <c r="W277" s="585"/>
      <c r="X277" s="585">
        <v>3</v>
      </c>
      <c r="Y277" s="585"/>
      <c r="Z277" s="585"/>
      <c r="AA277" s="585">
        <f>IF(X277=3,IF(J277&gt;0,99,IF(L277&gt;0,99,0)),0)</f>
        <v>0</v>
      </c>
      <c r="AB277" s="585">
        <f>IF(X277=1,IF(J277&gt;0,99,IF(L277&gt;0,99,0)),0)</f>
        <v>0</v>
      </c>
      <c r="AC277" s="585">
        <f>IF(X277=1,IF(J277&lt;0,99,IF(L277&lt;0,99,0)),0)</f>
        <v>0</v>
      </c>
      <c r="AD277" s="585"/>
      <c r="AE277" s="585"/>
      <c r="AF277" s="585"/>
      <c r="AG277" s="585"/>
      <c r="AH277" s="585"/>
      <c r="AI277" s="585"/>
      <c r="AJ277" s="585"/>
      <c r="AK277" s="585"/>
      <c r="AL277" s="585"/>
      <c r="AM277" s="585"/>
      <c r="AN277" s="585"/>
      <c r="AO277" s="585"/>
      <c r="AP277" s="585"/>
      <c r="AQ277" s="585"/>
      <c r="AR277" s="585"/>
      <c r="AS277" s="585"/>
      <c r="AT277" s="585"/>
      <c r="AU277" s="585"/>
      <c r="AV277" s="585"/>
      <c r="AW277" s="585"/>
      <c r="AX277" s="585"/>
      <c r="AY277" s="535"/>
      <c r="AZ277" s="535"/>
      <c r="BA277" s="535"/>
      <c r="BB277" s="535"/>
      <c r="BC277" s="535"/>
      <c r="BD277" s="535"/>
      <c r="BE277" s="535"/>
      <c r="BF277" s="535"/>
      <c r="BG277" s="535"/>
      <c r="BH277" s="535"/>
      <c r="BI277" s="535"/>
      <c r="BJ277" s="535"/>
      <c r="BK277" s="535"/>
      <c r="BL277" s="535"/>
      <c r="BM277" s="535"/>
      <c r="BN277" s="535"/>
      <c r="BO277" s="535"/>
      <c r="BP277" s="535"/>
      <c r="BQ277" s="535"/>
      <c r="BR277" s="535"/>
      <c r="BS277" s="535"/>
      <c r="BT277" s="535"/>
      <c r="BU277" s="535"/>
      <c r="BV277" s="535"/>
      <c r="BW277" s="535"/>
      <c r="BX277" s="535"/>
      <c r="BY277" s="535"/>
      <c r="BZ277" s="535"/>
      <c r="CA277" s="535"/>
      <c r="CB277" s="535"/>
      <c r="CC277" s="535"/>
      <c r="CD277" s="410"/>
      <c r="CE277" s="410"/>
      <c r="CF277" s="410"/>
      <c r="CG277" s="410"/>
      <c r="CH277" s="410"/>
      <c r="CI277" s="410"/>
      <c r="CJ277" s="410"/>
      <c r="CK277" s="410"/>
    </row>
    <row r="278" spans="1:93" s="412" customFormat="1" ht="18" customHeight="1" thickBot="1" x14ac:dyDescent="0.25">
      <c r="A278" s="328"/>
      <c r="B278" s="2218"/>
      <c r="C278" s="2219"/>
      <c r="D278" s="2219"/>
      <c r="E278" s="2219"/>
      <c r="F278" s="2219"/>
      <c r="G278" s="2219"/>
      <c r="H278" s="2219"/>
      <c r="I278" s="2220"/>
      <c r="J278" s="2204"/>
      <c r="K278" s="2205"/>
      <c r="L278" s="2204"/>
      <c r="M278" s="2205"/>
      <c r="N278" s="22"/>
      <c r="O278" s="411"/>
      <c r="P278" s="585"/>
      <c r="Q278" s="585"/>
      <c r="R278" s="585"/>
      <c r="S278" s="585"/>
      <c r="T278" s="585"/>
      <c r="U278" s="585"/>
      <c r="V278" s="585"/>
      <c r="W278" s="585"/>
      <c r="X278" s="585">
        <v>3</v>
      </c>
      <c r="Y278" s="585"/>
      <c r="Z278" s="585"/>
      <c r="AA278" s="585">
        <f>IF(X278=3,IF(J278&gt;0,99,IF(L278&gt;0,99,0)),0)</f>
        <v>0</v>
      </c>
      <c r="AB278" s="585">
        <f>IF(X278=1,IF(J278&gt;0,99,IF(L278&gt;0,99,0)),0)</f>
        <v>0</v>
      </c>
      <c r="AC278" s="585">
        <f>IF(X278=1,IF(J278&lt;0,99,IF(L278&lt;0,99,0)),0)</f>
        <v>0</v>
      </c>
      <c r="AD278" s="585"/>
      <c r="AE278" s="585"/>
      <c r="AF278" s="585"/>
      <c r="AG278" s="585"/>
      <c r="AH278" s="585"/>
      <c r="AI278" s="585"/>
      <c r="AJ278" s="585"/>
      <c r="AK278" s="585"/>
      <c r="AL278" s="585"/>
      <c r="AM278" s="585"/>
      <c r="AN278" s="585"/>
      <c r="AO278" s="585"/>
      <c r="AP278" s="585"/>
      <c r="AQ278" s="585"/>
      <c r="AR278" s="585"/>
      <c r="AS278" s="585"/>
      <c r="AT278" s="585"/>
      <c r="AU278" s="585"/>
      <c r="AV278" s="585"/>
      <c r="AW278" s="585"/>
      <c r="AX278" s="585"/>
      <c r="AY278" s="535"/>
      <c r="AZ278" s="535"/>
      <c r="BA278" s="535"/>
      <c r="BB278" s="535"/>
      <c r="BC278" s="535"/>
      <c r="BD278" s="535"/>
      <c r="BE278" s="535"/>
      <c r="BF278" s="535"/>
      <c r="BG278" s="535"/>
      <c r="BH278" s="535"/>
      <c r="BI278" s="535"/>
      <c r="BJ278" s="535"/>
      <c r="BK278" s="535"/>
      <c r="BL278" s="535"/>
      <c r="BM278" s="535"/>
      <c r="BN278" s="535"/>
      <c r="BO278" s="535"/>
      <c r="BP278" s="535"/>
      <c r="BQ278" s="535"/>
      <c r="BR278" s="535"/>
      <c r="BS278" s="535"/>
      <c r="BT278" s="535"/>
      <c r="BU278" s="535"/>
      <c r="BV278" s="535"/>
      <c r="BW278" s="535"/>
      <c r="BX278" s="535"/>
      <c r="BY278" s="535"/>
      <c r="BZ278" s="535"/>
      <c r="CA278" s="535"/>
      <c r="CB278" s="535"/>
      <c r="CC278" s="535"/>
      <c r="CD278" s="410"/>
      <c r="CE278" s="410"/>
      <c r="CF278" s="410"/>
      <c r="CG278" s="410"/>
      <c r="CH278" s="410"/>
      <c r="CI278" s="410"/>
      <c r="CJ278" s="410"/>
      <c r="CK278" s="410"/>
    </row>
    <row r="279" spans="1:93" s="414" customFormat="1" ht="27.75" customHeight="1" thickBot="1" x14ac:dyDescent="0.25">
      <c r="A279" s="432" t="s">
        <v>1253</v>
      </c>
      <c r="B279" s="433"/>
      <c r="C279" s="433"/>
      <c r="D279" s="433"/>
      <c r="E279" s="434"/>
      <c r="F279" s="434"/>
      <c r="G279" s="434"/>
      <c r="H279" s="434"/>
      <c r="I279" s="434"/>
      <c r="J279" s="2191" t="str">
        <f>IF(P279=0," ",IF(AD279&gt;1,"Fehler",P279))</f>
        <v xml:space="preserve"> </v>
      </c>
      <c r="K279" s="2192"/>
      <c r="L279" s="2191" t="str">
        <f>IF(Q279=0," ",IF(AD279&gt;0,"Fehler",Q279))</f>
        <v xml:space="preserve"> </v>
      </c>
      <c r="M279" s="2192"/>
      <c r="N279" s="342"/>
      <c r="O279" s="586"/>
      <c r="P279" s="588">
        <f>+P280+P281</f>
        <v>0</v>
      </c>
      <c r="Q279" s="588">
        <f>+Q280+Q281</f>
        <v>0</v>
      </c>
      <c r="R279" s="587"/>
      <c r="S279" s="587"/>
      <c r="T279" s="587"/>
      <c r="U279" s="587"/>
      <c r="V279" s="587"/>
      <c r="W279" s="587"/>
      <c r="X279" s="587"/>
      <c r="Y279" s="587"/>
      <c r="Z279" s="587"/>
      <c r="AA279" s="587">
        <f>SUM(AA274:AA278)</f>
        <v>0</v>
      </c>
      <c r="AB279" s="587">
        <f>SUM(AB274:AB278)</f>
        <v>0</v>
      </c>
      <c r="AC279" s="587">
        <f>SUM(AC274:AC278)</f>
        <v>0</v>
      </c>
      <c r="AD279" s="587">
        <f>+AA279+AB279+AC279</f>
        <v>0</v>
      </c>
      <c r="AE279" s="587"/>
      <c r="AF279" s="587"/>
      <c r="AG279" s="587"/>
      <c r="AH279" s="587"/>
      <c r="AI279" s="587"/>
      <c r="AJ279" s="587"/>
      <c r="AK279" s="587"/>
      <c r="AL279" s="587"/>
      <c r="AM279" s="587"/>
      <c r="AN279" s="587"/>
      <c r="AO279" s="587"/>
      <c r="AP279" s="587"/>
      <c r="AQ279" s="587"/>
      <c r="AR279" s="587"/>
      <c r="AS279" s="587"/>
      <c r="AT279" s="587"/>
      <c r="AU279" s="587"/>
      <c r="AV279" s="587"/>
      <c r="AW279" s="587"/>
      <c r="AX279" s="587"/>
      <c r="AY279" s="589"/>
      <c r="AZ279" s="589"/>
      <c r="BA279" s="589"/>
      <c r="BB279" s="589"/>
      <c r="BC279" s="589"/>
      <c r="BD279" s="589"/>
      <c r="BE279" s="589"/>
      <c r="BF279" s="589"/>
      <c r="BG279" s="589"/>
      <c r="BH279" s="589"/>
      <c r="BI279" s="589"/>
      <c r="BJ279" s="589"/>
      <c r="BK279" s="589"/>
      <c r="BL279" s="589"/>
      <c r="BM279" s="589"/>
      <c r="BN279" s="589"/>
      <c r="BO279" s="589"/>
      <c r="BP279" s="589"/>
      <c r="BQ279" s="589"/>
      <c r="BR279" s="589"/>
      <c r="BS279" s="589"/>
      <c r="BT279" s="589"/>
      <c r="BU279" s="589"/>
      <c r="BV279" s="589"/>
      <c r="BW279" s="589"/>
      <c r="BX279" s="589"/>
      <c r="BY279" s="589"/>
      <c r="BZ279" s="589"/>
      <c r="CA279" s="589"/>
      <c r="CB279" s="589"/>
      <c r="CC279" s="589"/>
      <c r="CD279" s="413"/>
      <c r="CE279" s="413"/>
      <c r="CF279" s="413"/>
      <c r="CG279" s="413"/>
      <c r="CH279" s="413"/>
      <c r="CI279" s="413"/>
      <c r="CJ279" s="413"/>
      <c r="CK279" s="413"/>
    </row>
    <row r="280" spans="1:93" s="416" customFormat="1" ht="10.5" customHeight="1" thickBot="1" x14ac:dyDescent="0.25">
      <c r="A280" s="498" t="s">
        <v>1257</v>
      </c>
      <c r="B280" s="499"/>
      <c r="C280" s="499"/>
      <c r="D280" s="499"/>
      <c r="E280" s="500"/>
      <c r="F280" s="500"/>
      <c r="G280" s="500"/>
      <c r="H280" s="500"/>
      <c r="I280" s="500"/>
      <c r="J280" s="2202" t="str">
        <f>IF(P280=0," ",P280)</f>
        <v xml:space="preserve"> </v>
      </c>
      <c r="K280" s="2203"/>
      <c r="L280" s="2202" t="str">
        <f>IF(Q280=0," ",Q280)</f>
        <v xml:space="preserve"> </v>
      </c>
      <c r="M280" s="2203"/>
      <c r="N280" s="325"/>
      <c r="O280" s="591"/>
      <c r="P280" s="605">
        <f>SUM(J254:J271)</f>
        <v>0</v>
      </c>
      <c r="Q280" s="606">
        <f>SUM(L254:L271)</f>
        <v>0</v>
      </c>
      <c r="R280" s="592"/>
      <c r="S280" s="592"/>
      <c r="T280" s="592"/>
      <c r="U280" s="592"/>
      <c r="V280" s="592"/>
      <c r="W280" s="592"/>
      <c r="X280" s="592"/>
      <c r="Y280" s="592"/>
      <c r="Z280" s="592"/>
      <c r="AA280" s="592"/>
      <c r="AB280" s="592"/>
      <c r="AC280" s="592"/>
      <c r="AD280" s="592"/>
      <c r="AE280" s="592"/>
      <c r="AF280" s="592"/>
      <c r="AG280" s="592"/>
      <c r="AH280" s="592"/>
      <c r="AI280" s="592"/>
      <c r="AJ280" s="592"/>
      <c r="AK280" s="592"/>
      <c r="AL280" s="592"/>
      <c r="AM280" s="592"/>
      <c r="AN280" s="592"/>
      <c r="AO280" s="592"/>
      <c r="AP280" s="592"/>
      <c r="AQ280" s="592"/>
      <c r="AR280" s="592"/>
      <c r="AS280" s="592"/>
      <c r="AT280" s="592"/>
      <c r="AU280" s="592"/>
      <c r="AV280" s="592"/>
      <c r="AW280" s="592"/>
      <c r="AX280" s="592"/>
      <c r="AY280" s="593"/>
      <c r="AZ280" s="593"/>
      <c r="BA280" s="593"/>
      <c r="BB280" s="593"/>
      <c r="BC280" s="593"/>
      <c r="BD280" s="593"/>
      <c r="BE280" s="593"/>
      <c r="BF280" s="593"/>
      <c r="BG280" s="593"/>
      <c r="BH280" s="593"/>
      <c r="BI280" s="593"/>
      <c r="BJ280" s="593"/>
      <c r="BK280" s="593"/>
      <c r="BL280" s="593"/>
      <c r="BM280" s="593"/>
      <c r="BN280" s="593"/>
      <c r="BO280" s="593"/>
      <c r="BP280" s="593"/>
      <c r="BQ280" s="593"/>
      <c r="BR280" s="593"/>
      <c r="BS280" s="593"/>
      <c r="BT280" s="593"/>
      <c r="BU280" s="593"/>
      <c r="BV280" s="593"/>
      <c r="BW280" s="593"/>
      <c r="BX280" s="593"/>
      <c r="BY280" s="593"/>
      <c r="BZ280" s="593"/>
      <c r="CA280" s="593"/>
      <c r="CB280" s="593"/>
      <c r="CC280" s="593"/>
      <c r="CD280" s="415"/>
      <c r="CE280" s="415"/>
      <c r="CF280" s="415"/>
      <c r="CG280" s="415"/>
      <c r="CH280" s="415"/>
      <c r="CI280" s="415"/>
      <c r="CJ280" s="415"/>
      <c r="CK280" s="415"/>
    </row>
    <row r="281" spans="1:93" s="416" customFormat="1" ht="10.5" customHeight="1" thickBot="1" x14ac:dyDescent="0.25">
      <c r="A281" s="501" t="s">
        <v>337</v>
      </c>
      <c r="B281" s="499"/>
      <c r="C281" s="499"/>
      <c r="D281" s="499"/>
      <c r="E281" s="500"/>
      <c r="F281" s="500"/>
      <c r="G281" s="500"/>
      <c r="H281" s="500"/>
      <c r="I281" s="500"/>
      <c r="J281" s="2202" t="str">
        <f>IF(P281=0," ",P281)</f>
        <v xml:space="preserve"> </v>
      </c>
      <c r="K281" s="2203"/>
      <c r="L281" s="2202" t="str">
        <f>IF(Q281=0," ",Q281)</f>
        <v xml:space="preserve"> </v>
      </c>
      <c r="M281" s="2203"/>
      <c r="N281" s="325"/>
      <c r="O281" s="591"/>
      <c r="P281" s="607">
        <f>SUM(J274:J278)</f>
        <v>0</v>
      </c>
      <c r="Q281" s="607">
        <f>SUM(L274:L278)</f>
        <v>0</v>
      </c>
      <c r="R281" s="592"/>
      <c r="S281" s="592"/>
      <c r="T281" s="592"/>
      <c r="U281" s="608"/>
      <c r="V281" s="592"/>
      <c r="W281" s="592"/>
      <c r="X281" s="592"/>
      <c r="Y281" s="592"/>
      <c r="Z281" s="592"/>
      <c r="AA281" s="592"/>
      <c r="AB281" s="592"/>
      <c r="AC281" s="609"/>
      <c r="AD281" s="609"/>
      <c r="AE281" s="609"/>
      <c r="AF281" s="609"/>
      <c r="AG281" s="609"/>
      <c r="AH281" s="609"/>
      <c r="AI281" s="609"/>
      <c r="AJ281" s="609"/>
      <c r="AK281" s="592"/>
      <c r="AL281" s="592"/>
      <c r="AM281" s="592"/>
      <c r="AN281" s="592"/>
      <c r="AO281" s="592"/>
      <c r="AP281" s="592"/>
      <c r="AQ281" s="592"/>
      <c r="AR281" s="592"/>
      <c r="AS281" s="608" t="s">
        <v>331</v>
      </c>
      <c r="AT281" s="592"/>
      <c r="AU281" s="592"/>
      <c r="AV281" s="592"/>
      <c r="AW281" s="592"/>
      <c r="AX281" s="592"/>
      <c r="AY281" s="593"/>
      <c r="AZ281" s="593"/>
      <c r="BA281" s="593"/>
      <c r="BB281" s="593"/>
      <c r="BC281" s="593"/>
      <c r="BD281" s="593"/>
      <c r="BE281" s="593"/>
      <c r="BF281" s="593"/>
      <c r="BG281" s="593"/>
      <c r="BH281" s="593"/>
      <c r="BI281" s="593"/>
      <c r="BJ281" s="593"/>
      <c r="BK281" s="593"/>
      <c r="BL281" s="593"/>
      <c r="BM281" s="593"/>
      <c r="BN281" s="593"/>
      <c r="BO281" s="593"/>
      <c r="BP281" s="593"/>
      <c r="BQ281" s="593"/>
      <c r="BR281" s="593"/>
      <c r="BS281" s="593"/>
      <c r="BT281" s="593"/>
      <c r="BU281" s="593"/>
      <c r="BV281" s="593"/>
      <c r="BW281" s="593"/>
      <c r="BX281" s="593"/>
      <c r="BY281" s="593"/>
      <c r="BZ281" s="593"/>
      <c r="CA281" s="593"/>
      <c r="CB281" s="593"/>
      <c r="CC281" s="593"/>
      <c r="CD281" s="415"/>
      <c r="CE281" s="415"/>
      <c r="CF281" s="415"/>
      <c r="CG281" s="415"/>
      <c r="CH281" s="415"/>
      <c r="CI281" s="415"/>
      <c r="CJ281" s="415"/>
      <c r="CK281" s="415"/>
    </row>
    <row r="282" spans="1:93" s="412" customFormat="1" ht="7.5" customHeight="1" x14ac:dyDescent="0.2">
      <c r="A282" s="1091"/>
      <c r="B282" s="1091"/>
      <c r="C282" s="1091"/>
      <c r="D282" s="1091"/>
      <c r="E282" s="1091"/>
      <c r="F282" s="1091"/>
      <c r="G282" s="1091"/>
      <c r="H282" s="1091"/>
      <c r="I282" s="1091"/>
      <c r="J282" s="1091"/>
      <c r="K282" s="1091"/>
      <c r="L282" s="1091"/>
      <c r="M282" s="1091"/>
      <c r="N282" s="1091"/>
      <c r="P282" s="610"/>
      <c r="Q282" s="610"/>
      <c r="R282" s="585"/>
      <c r="S282" s="585"/>
      <c r="T282" s="585"/>
      <c r="U282" s="585"/>
      <c r="V282" s="585"/>
      <c r="W282" s="585"/>
      <c r="X282" s="585"/>
      <c r="Y282" s="585"/>
      <c r="Z282" s="585"/>
      <c r="AA282" s="585"/>
      <c r="AB282" s="585"/>
      <c r="AC282" s="585"/>
      <c r="AD282" s="585"/>
      <c r="AE282" s="585"/>
      <c r="AF282" s="585"/>
      <c r="AG282" s="585"/>
      <c r="AH282" s="585"/>
      <c r="AI282" s="585"/>
      <c r="AJ282" s="585"/>
      <c r="AK282" s="585"/>
      <c r="AL282" s="585"/>
      <c r="AM282" s="585"/>
      <c r="AN282" s="585"/>
      <c r="AO282" s="585"/>
      <c r="AP282" s="585"/>
      <c r="AQ282" s="585"/>
      <c r="AR282" s="585"/>
      <c r="AS282" s="585"/>
      <c r="AT282" s="585"/>
      <c r="AU282" s="585"/>
      <c r="AV282" s="585"/>
      <c r="AW282" s="585"/>
      <c r="AX282" s="585"/>
      <c r="AY282" s="535"/>
      <c r="AZ282" s="535"/>
      <c r="BA282" s="535"/>
      <c r="BB282" s="535"/>
      <c r="BC282" s="535"/>
      <c r="BD282" s="535"/>
      <c r="BE282" s="535"/>
      <c r="BF282" s="535"/>
      <c r="BG282" s="535"/>
      <c r="BH282" s="535"/>
      <c r="BI282" s="535"/>
      <c r="BJ282" s="535"/>
      <c r="BK282" s="535"/>
      <c r="BL282" s="535"/>
      <c r="BM282" s="535"/>
      <c r="BN282" s="535"/>
      <c r="BO282" s="535"/>
      <c r="BP282" s="535"/>
      <c r="BQ282" s="535"/>
      <c r="BR282" s="535"/>
      <c r="BS282" s="535"/>
      <c r="BT282" s="535"/>
      <c r="BU282" s="535"/>
      <c r="BV282" s="535"/>
      <c r="BW282" s="535"/>
      <c r="BX282" s="535"/>
      <c r="BY282" s="535"/>
      <c r="BZ282" s="535"/>
      <c r="CA282" s="535"/>
      <c r="CB282" s="535"/>
      <c r="CC282" s="535"/>
      <c r="CD282" s="410"/>
      <c r="CE282" s="410"/>
      <c r="CF282" s="410"/>
      <c r="CG282" s="410"/>
      <c r="CH282" s="410"/>
      <c r="CI282" s="410"/>
      <c r="CJ282" s="410"/>
      <c r="CK282" s="410"/>
    </row>
    <row r="283" spans="1:93" s="412" customFormat="1" ht="7.5" customHeight="1" x14ac:dyDescent="0.2">
      <c r="A283" s="23"/>
      <c r="B283" s="2"/>
      <c r="C283" s="2"/>
      <c r="D283" s="2"/>
      <c r="E283" s="3"/>
      <c r="F283" s="3"/>
      <c r="G283" s="3"/>
      <c r="H283" s="3"/>
      <c r="I283" s="3"/>
      <c r="J283" s="21"/>
      <c r="K283" s="21"/>
      <c r="L283" s="8"/>
      <c r="M283" s="8"/>
      <c r="N283" s="21"/>
      <c r="O283" s="410"/>
      <c r="P283" s="535"/>
      <c r="Q283" s="535"/>
      <c r="R283" s="535"/>
      <c r="S283" s="535"/>
      <c r="T283" s="535"/>
      <c r="U283" s="535"/>
      <c r="V283" s="535"/>
      <c r="W283" s="535"/>
      <c r="X283" s="535"/>
      <c r="Y283" s="535"/>
      <c r="Z283" s="535"/>
      <c r="AA283" s="535"/>
      <c r="AB283" s="535"/>
      <c r="AC283" s="535"/>
      <c r="AD283" s="535"/>
      <c r="AE283" s="535"/>
      <c r="AF283" s="535"/>
      <c r="AG283" s="535"/>
      <c r="AH283" s="535"/>
      <c r="AI283" s="535"/>
      <c r="AJ283" s="535"/>
      <c r="AK283" s="535"/>
      <c r="AL283" s="535"/>
      <c r="AM283" s="535"/>
      <c r="AN283" s="535"/>
      <c r="AO283" s="535"/>
      <c r="AP283" s="535"/>
      <c r="AQ283" s="535"/>
      <c r="AR283" s="535"/>
      <c r="AS283" s="535"/>
      <c r="AT283" s="535"/>
      <c r="AU283" s="535"/>
      <c r="AV283" s="535"/>
      <c r="AW283" s="535"/>
      <c r="AX283" s="535"/>
      <c r="AY283" s="535"/>
      <c r="AZ283" s="535"/>
      <c r="BA283" s="535"/>
      <c r="BB283" s="535"/>
      <c r="BC283" s="535"/>
      <c r="BD283" s="535"/>
      <c r="BE283" s="535"/>
      <c r="BF283" s="535"/>
      <c r="BG283" s="535"/>
      <c r="BH283" s="535"/>
      <c r="BI283" s="535"/>
      <c r="BJ283" s="535"/>
      <c r="BK283" s="535"/>
      <c r="BL283" s="535"/>
      <c r="BM283" s="535"/>
      <c r="BN283" s="535"/>
      <c r="BO283" s="535"/>
      <c r="BP283" s="535"/>
      <c r="BQ283" s="535"/>
      <c r="BR283" s="535"/>
      <c r="BS283" s="535"/>
      <c r="BT283" s="535"/>
      <c r="BU283" s="535"/>
      <c r="BV283" s="535"/>
      <c r="BW283" s="535"/>
      <c r="BX283" s="535"/>
      <c r="BY283" s="535"/>
      <c r="BZ283" s="535"/>
      <c r="CA283" s="535"/>
      <c r="CB283" s="535"/>
      <c r="CC283" s="535"/>
      <c r="CD283" s="410"/>
      <c r="CE283" s="410"/>
      <c r="CF283" s="410"/>
      <c r="CG283" s="410"/>
      <c r="CH283" s="410"/>
      <c r="CI283" s="410"/>
      <c r="CJ283" s="410"/>
      <c r="CK283" s="410"/>
    </row>
    <row r="284" spans="1:93" s="412" customFormat="1" ht="9.75" customHeight="1" thickBot="1" x14ac:dyDescent="0.25">
      <c r="A284" s="23"/>
      <c r="B284" s="2"/>
      <c r="C284" s="2"/>
      <c r="D284" s="2"/>
      <c r="E284" s="3"/>
      <c r="F284" s="3"/>
      <c r="G284" s="3"/>
      <c r="H284" s="3"/>
      <c r="I284" s="3"/>
      <c r="J284" s="21"/>
      <c r="K284" s="21"/>
      <c r="L284" s="8"/>
      <c r="M284" s="8"/>
      <c r="N284" s="21"/>
      <c r="O284" s="410"/>
      <c r="P284" s="535"/>
      <c r="Q284" s="535"/>
      <c r="R284" s="535"/>
      <c r="S284" s="534" t="s">
        <v>957</v>
      </c>
      <c r="T284" s="535"/>
      <c r="V284" s="535"/>
      <c r="W284" s="535" t="s">
        <v>942</v>
      </c>
      <c r="X284" s="535" t="s">
        <v>943</v>
      </c>
      <c r="Y284" s="535"/>
      <c r="AA284" s="534" t="s">
        <v>958</v>
      </c>
      <c r="AE284" s="535"/>
      <c r="AF284" s="535"/>
      <c r="AG284" s="535"/>
      <c r="AH284" s="535"/>
      <c r="AI284" s="535"/>
      <c r="AJ284" s="535"/>
      <c r="AK284" s="535"/>
      <c r="AL284" s="535"/>
      <c r="AM284" s="535"/>
      <c r="AN284" s="535"/>
      <c r="AO284" s="535"/>
      <c r="AP284" s="535"/>
      <c r="AQ284" s="535"/>
      <c r="AR284" s="535"/>
      <c r="AS284" s="535"/>
      <c r="AT284" s="535"/>
      <c r="AU284" s="535"/>
      <c r="AV284" s="535"/>
      <c r="AW284" s="535"/>
      <c r="AX284" s="535"/>
      <c r="AY284" s="535"/>
      <c r="AZ284" s="535"/>
      <c r="BA284" s="535"/>
      <c r="BB284" s="535"/>
      <c r="BC284" s="535"/>
      <c r="BD284" s="535"/>
      <c r="BE284" s="535"/>
      <c r="BF284" s="535"/>
      <c r="BG284" s="535"/>
      <c r="BH284" s="410"/>
      <c r="BI284" s="410"/>
      <c r="BJ284" s="410"/>
      <c r="BK284" s="410"/>
      <c r="BL284" s="410"/>
      <c r="BM284" s="410"/>
      <c r="BN284" s="410"/>
      <c r="BO284" s="410"/>
    </row>
    <row r="285" spans="1:93" s="412" customFormat="1" ht="26.25" customHeight="1" thickTop="1" thickBot="1" x14ac:dyDescent="0.25">
      <c r="A285" s="1526" t="s">
        <v>1123</v>
      </c>
      <c r="B285" s="1527"/>
      <c r="C285" s="1527"/>
      <c r="D285" s="1527"/>
      <c r="E285" s="1527"/>
      <c r="F285" s="1527"/>
      <c r="G285" s="1527"/>
      <c r="H285" s="1527"/>
      <c r="I285" s="1528"/>
      <c r="J285" s="2216" t="s">
        <v>314</v>
      </c>
      <c r="K285" s="2217"/>
      <c r="L285" s="2189" t="s">
        <v>315</v>
      </c>
      <c r="M285" s="2190"/>
      <c r="N285" s="21"/>
      <c r="O285" s="410"/>
      <c r="P285" s="611" t="str">
        <f>IF(J287=0,"0",ROUND(P286,1))</f>
        <v>0</v>
      </c>
      <c r="Q285" s="611">
        <f>ROUND(Q286,1)</f>
        <v>0</v>
      </c>
      <c r="R285" s="535"/>
      <c r="S285" s="2156" t="s">
        <v>940</v>
      </c>
      <c r="T285" s="2156"/>
      <c r="V285" s="615">
        <f>+G6-H7-H8+G9-H10-H11</f>
        <v>0</v>
      </c>
      <c r="W285" s="535">
        <f>+V285</f>
        <v>0</v>
      </c>
      <c r="X285" s="535">
        <f>+V285</f>
        <v>0</v>
      </c>
      <c r="Y285" s="535"/>
      <c r="AA285" s="615" t="s">
        <v>295</v>
      </c>
      <c r="AB285" s="535"/>
      <c r="AE285" s="535" t="s">
        <v>954</v>
      </c>
      <c r="AF285" s="535"/>
      <c r="AG285" s="535" t="s">
        <v>956</v>
      </c>
      <c r="AH285" s="535" t="s">
        <v>966</v>
      </c>
      <c r="AI285" s="535"/>
      <c r="AJ285" s="535" t="s">
        <v>295</v>
      </c>
      <c r="AK285" s="535"/>
      <c r="AL285" s="535"/>
      <c r="AM285" s="535"/>
      <c r="AN285" s="535"/>
      <c r="AO285" s="535"/>
      <c r="AP285" s="535"/>
      <c r="AQ285" s="535"/>
      <c r="AR285" s="535"/>
      <c r="AS285" s="535"/>
      <c r="AT285" s="535"/>
      <c r="AU285" s="535"/>
      <c r="AV285" s="535"/>
      <c r="AW285" s="535"/>
      <c r="AX285" s="535"/>
      <c r="AY285" s="535"/>
      <c r="AZ285" s="535"/>
      <c r="BA285" s="535"/>
      <c r="BB285" s="535"/>
      <c r="BC285" s="535"/>
      <c r="BD285" s="535"/>
      <c r="BE285" s="535"/>
      <c r="BF285" s="535"/>
      <c r="BG285" s="535"/>
      <c r="BH285" s="410"/>
      <c r="BI285" s="410"/>
      <c r="BJ285" s="410"/>
      <c r="BK285" s="410"/>
      <c r="BL285" s="410"/>
      <c r="BM285" s="410"/>
      <c r="BN285" s="410"/>
      <c r="BO285" s="410"/>
    </row>
    <row r="286" spans="1:93" s="412" customFormat="1" ht="18" customHeight="1" thickBot="1" x14ac:dyDescent="0.25">
      <c r="A286" s="1529" t="s">
        <v>515</v>
      </c>
      <c r="B286" s="2"/>
      <c r="C286" s="2"/>
      <c r="D286" s="2"/>
      <c r="E286" s="2"/>
      <c r="F286" s="2"/>
      <c r="G286" s="2"/>
      <c r="H286" s="2"/>
      <c r="I286" s="3"/>
      <c r="J286" s="2072" t="str">
        <f>CONCATENATE(P285," Mo.")</f>
        <v>0 Mo.</v>
      </c>
      <c r="K286" s="2073"/>
      <c r="L286" s="2072" t="str">
        <f>CONCATENATE(Q285," Mo.")</f>
        <v>0 Mo.</v>
      </c>
      <c r="M286" s="2197"/>
      <c r="N286" s="21"/>
      <c r="O286" s="410"/>
      <c r="P286" s="613">
        <f>+AI295</f>
        <v>0</v>
      </c>
      <c r="Q286" s="614">
        <f>+CI236</f>
        <v>0</v>
      </c>
      <c r="R286" s="535"/>
      <c r="S286" s="412" t="s">
        <v>948</v>
      </c>
      <c r="V286" s="412">
        <f>+G12</f>
        <v>0</v>
      </c>
      <c r="Y286" s="535"/>
      <c r="AB286" s="535"/>
      <c r="AE286" s="535" t="s">
        <v>511</v>
      </c>
      <c r="AF286" s="535" t="s">
        <v>510</v>
      </c>
      <c r="AG286" s="535"/>
      <c r="AH286" s="535"/>
      <c r="AI286" s="535"/>
      <c r="AJ286" s="535" t="str">
        <f>+AE286</f>
        <v>Winter</v>
      </c>
      <c r="AK286" s="535" t="str">
        <f>+AF286</f>
        <v>Sommer</v>
      </c>
      <c r="AL286" s="535"/>
      <c r="AM286" s="535"/>
      <c r="AN286" s="535"/>
      <c r="AO286" s="535"/>
      <c r="AP286" s="535"/>
      <c r="AQ286" s="535"/>
      <c r="AR286" s="535"/>
      <c r="AS286" s="535"/>
      <c r="AT286" s="535"/>
      <c r="AU286" s="535"/>
      <c r="AV286" s="535"/>
      <c r="AW286" s="535"/>
      <c r="AX286" s="535"/>
      <c r="AY286" s="535"/>
      <c r="AZ286" s="535"/>
      <c r="BA286" s="535"/>
      <c r="BB286" s="535"/>
      <c r="BC286" s="535"/>
      <c r="BD286" s="535"/>
      <c r="BE286" s="535"/>
      <c r="BF286" s="535"/>
      <c r="BG286" s="535"/>
      <c r="BH286" s="410"/>
      <c r="BI286" s="410"/>
      <c r="BJ286" s="410"/>
      <c r="BK286" s="410"/>
      <c r="BL286" s="410"/>
      <c r="BM286" s="410"/>
      <c r="BN286" s="410"/>
      <c r="BO286" s="410"/>
    </row>
    <row r="287" spans="1:93" s="412" customFormat="1" ht="18" customHeight="1" thickBot="1" x14ac:dyDescent="0.25">
      <c r="A287" s="1530" t="s">
        <v>338</v>
      </c>
      <c r="B287" s="1388"/>
      <c r="C287" s="1388"/>
      <c r="D287" s="1388"/>
      <c r="E287" s="1388"/>
      <c r="F287" s="1388"/>
      <c r="G287" s="1388"/>
      <c r="H287" s="1388"/>
      <c r="I287" s="1389"/>
      <c r="J287" s="2029">
        <f>IF(G226&lt;-0.1,"Fehler",IF(F41+F42=0,0,P287))</f>
        <v>0</v>
      </c>
      <c r="K287" s="2030"/>
      <c r="L287" s="1879">
        <f>IF(L226&lt;-0.1,"Fehler",IF(Q287=0,0,Q287))</f>
        <v>0</v>
      </c>
      <c r="M287" s="1880"/>
      <c r="N287" s="21"/>
      <c r="O287" s="410"/>
      <c r="P287" s="643">
        <f>+AG297</f>
        <v>0</v>
      </c>
      <c r="Q287" s="583">
        <f>(R88+T226)/12*Q286</f>
        <v>0</v>
      </c>
      <c r="R287" s="535"/>
      <c r="S287" s="2156" t="s">
        <v>941</v>
      </c>
      <c r="T287" s="2156"/>
      <c r="V287" s="610">
        <f>+G9-H10-H11</f>
        <v>0</v>
      </c>
      <c r="W287" s="535">
        <f>+V287</f>
        <v>0</v>
      </c>
      <c r="X287" s="535">
        <f>IF(W287&lt;V289/255,W287,V289/255)</f>
        <v>0</v>
      </c>
      <c r="Y287" s="535"/>
      <c r="AA287" s="1095" t="s">
        <v>955</v>
      </c>
      <c r="AE287" s="590">
        <f>+S90</f>
        <v>0</v>
      </c>
      <c r="AF287" s="590">
        <f>+T90</f>
        <v>0</v>
      </c>
      <c r="AG287" s="535">
        <f>+AE287*6+AF287*6</f>
        <v>0</v>
      </c>
      <c r="AH287" s="535"/>
      <c r="AI287" s="535"/>
      <c r="AJ287" s="535">
        <f>+AE287</f>
        <v>0</v>
      </c>
      <c r="AK287" s="535">
        <f>+AF287</f>
        <v>0</v>
      </c>
      <c r="AL287" s="535">
        <f>+AG287</f>
        <v>0</v>
      </c>
      <c r="AM287" s="535"/>
      <c r="AN287" s="535"/>
      <c r="AO287" s="535"/>
      <c r="AP287" s="535"/>
      <c r="AQ287" s="535"/>
      <c r="AR287" s="535"/>
      <c r="AS287" s="535"/>
      <c r="AT287" s="535"/>
      <c r="AU287" s="535"/>
      <c r="AV287" s="535"/>
      <c r="AW287" s="535"/>
      <c r="AX287" s="535"/>
      <c r="AY287" s="535"/>
      <c r="AZ287" s="535"/>
      <c r="BA287" s="535"/>
      <c r="BB287" s="535"/>
      <c r="BC287" s="535"/>
      <c r="BD287" s="535"/>
      <c r="BE287" s="535"/>
      <c r="BF287" s="535"/>
      <c r="BG287" s="535"/>
      <c r="BH287" s="535"/>
      <c r="BI287" s="535"/>
      <c r="BJ287" s="410"/>
      <c r="BK287" s="410"/>
      <c r="BL287" s="410"/>
      <c r="BM287" s="410"/>
      <c r="BN287" s="410"/>
      <c r="BO287" s="410"/>
      <c r="BP287" s="410"/>
      <c r="BQ287" s="410"/>
    </row>
    <row r="288" spans="1:93" s="412" customFormat="1" ht="18" customHeight="1" x14ac:dyDescent="0.2">
      <c r="A288" s="1531" t="s">
        <v>1255</v>
      </c>
      <c r="B288" s="1179"/>
      <c r="C288" s="1179"/>
      <c r="D288" s="1179"/>
      <c r="E288" s="1179"/>
      <c r="F288" s="1179"/>
      <c r="G288" s="1179"/>
      <c r="H288" s="1179"/>
      <c r="I288" s="1179"/>
      <c r="J288" s="2227">
        <f>+P288</f>
        <v>0</v>
      </c>
      <c r="K288" s="2228"/>
      <c r="L288" s="1525"/>
      <c r="M288" s="1532"/>
      <c r="N288" s="21"/>
      <c r="O288" s="410"/>
      <c r="P288" s="585">
        <f>IF(J279=" ",0,J279)</f>
        <v>0</v>
      </c>
      <c r="Q288" s="585">
        <f>IF(L279=" ",0,L279)</f>
        <v>0</v>
      </c>
      <c r="R288" s="535"/>
      <c r="S288" s="1087" t="s">
        <v>330</v>
      </c>
      <c r="T288" s="1087"/>
      <c r="V288" s="1107">
        <f>IF(V285=0,100,BP88/V285)</f>
        <v>100</v>
      </c>
      <c r="Y288" s="535"/>
      <c r="AA288" s="615" t="s">
        <v>846</v>
      </c>
      <c r="AB288" s="615"/>
      <c r="AE288" s="616">
        <f>IF(AG288=" ",0,AG288/12)</f>
        <v>0</v>
      </c>
      <c r="AF288" s="590">
        <f>AE288</f>
        <v>0</v>
      </c>
      <c r="AG288" s="585">
        <f>IF(F41=" ",0,F41)</f>
        <v>0</v>
      </c>
      <c r="AH288" s="535"/>
      <c r="AI288" s="535"/>
      <c r="AJ288" s="616">
        <f>IF(AL288=" ",0,AL288/12)</f>
        <v>0</v>
      </c>
      <c r="AK288" s="590">
        <f>AJ288</f>
        <v>0</v>
      </c>
      <c r="AL288" s="535">
        <f>IF(J234=" ",0,J234)</f>
        <v>0</v>
      </c>
      <c r="AM288" s="535"/>
      <c r="AN288" s="535"/>
      <c r="AO288" s="535"/>
      <c r="AP288" s="610"/>
      <c r="AQ288" s="610"/>
      <c r="AR288" s="610"/>
      <c r="AS288" s="590"/>
      <c r="AT288" s="616"/>
      <c r="AU288" s="616"/>
      <c r="AV288" s="610"/>
      <c r="AW288" s="616"/>
      <c r="AX288" s="616"/>
      <c r="AY288" s="616"/>
      <c r="AZ288" s="535"/>
      <c r="BA288" s="535"/>
      <c r="BB288" s="535"/>
      <c r="BC288" s="535"/>
      <c r="BD288" s="535"/>
      <c r="BE288" s="535"/>
      <c r="BF288" s="535"/>
      <c r="BG288" s="535"/>
      <c r="BH288" s="535"/>
      <c r="BI288" s="535"/>
      <c r="BJ288" s="535"/>
      <c r="BK288" s="535"/>
      <c r="BL288" s="535"/>
      <c r="BM288" s="535"/>
      <c r="BN288" s="535"/>
      <c r="BO288" s="535"/>
      <c r="BP288" s="535"/>
      <c r="BQ288" s="535"/>
      <c r="BR288" s="535"/>
      <c r="BS288" s="535"/>
      <c r="BT288" s="535"/>
      <c r="BU288" s="535"/>
      <c r="BV288" s="535"/>
      <c r="BW288" s="535"/>
      <c r="BX288" s="535"/>
      <c r="BY288" s="535"/>
      <c r="BZ288" s="535"/>
      <c r="CA288" s="535"/>
      <c r="CB288" s="535"/>
      <c r="CC288" s="535"/>
      <c r="CD288" s="535"/>
      <c r="CE288" s="535"/>
      <c r="CF288" s="535"/>
      <c r="CG288" s="535"/>
      <c r="CH288" s="410"/>
      <c r="CI288" s="410"/>
      <c r="CJ288" s="410"/>
      <c r="CK288" s="410"/>
      <c r="CL288" s="410"/>
      <c r="CM288" s="410"/>
      <c r="CN288" s="410"/>
      <c r="CO288" s="410"/>
    </row>
    <row r="289" spans="1:93" s="412" customFormat="1" ht="18" customHeight="1" thickBot="1" x14ac:dyDescent="0.25">
      <c r="A289" s="1842" t="s">
        <v>1256</v>
      </c>
      <c r="B289" s="1843"/>
      <c r="C289" s="1843"/>
      <c r="D289" s="1843"/>
      <c r="E289" s="1843"/>
      <c r="F289" s="1843"/>
      <c r="G289" s="1843"/>
      <c r="H289" s="1843"/>
      <c r="I289" s="1844"/>
      <c r="J289" s="2227">
        <f>+P289</f>
        <v>0</v>
      </c>
      <c r="K289" s="2229"/>
      <c r="L289" s="1525"/>
      <c r="M289" s="1532"/>
      <c r="N289" s="21"/>
      <c r="O289" s="410"/>
      <c r="P289" s="585">
        <f>+S268</f>
        <v>0</v>
      </c>
      <c r="Q289" s="585"/>
      <c r="R289" s="535"/>
      <c r="S289" s="534" t="s">
        <v>947</v>
      </c>
      <c r="T289" s="535"/>
      <c r="V289" s="535">
        <f>+(AC88+AG88)/2</f>
        <v>0</v>
      </c>
      <c r="W289" s="535"/>
      <c r="X289" s="535"/>
      <c r="Y289" s="535" t="s">
        <v>965</v>
      </c>
      <c r="AA289" s="412" t="s">
        <v>959</v>
      </c>
      <c r="AB289" s="615"/>
      <c r="AE289" s="616">
        <f>+W88/12-AE287</f>
        <v>0</v>
      </c>
      <c r="AF289" s="535">
        <f>+U88/12-AF287</f>
        <v>0</v>
      </c>
      <c r="AG289" s="535">
        <f>+AE289*6+AF289*6</f>
        <v>0</v>
      </c>
      <c r="AH289" s="535"/>
      <c r="AI289" s="535"/>
      <c r="AJ289" s="535">
        <f>+AE289</f>
        <v>0</v>
      </c>
      <c r="AK289" s="535">
        <f>+AF289</f>
        <v>0</v>
      </c>
      <c r="AL289" s="535">
        <f>+AG289</f>
        <v>0</v>
      </c>
      <c r="AM289" s="535"/>
      <c r="AN289" s="535"/>
      <c r="AO289" s="535"/>
      <c r="AP289" s="610"/>
      <c r="AQ289" s="610"/>
      <c r="AR289" s="610"/>
      <c r="AS289" s="590"/>
      <c r="AT289" s="616"/>
      <c r="AU289" s="616"/>
      <c r="AV289" s="610"/>
      <c r="AW289" s="616"/>
      <c r="AX289" s="616"/>
      <c r="AY289" s="616"/>
      <c r="AZ289" s="535"/>
      <c r="BA289" s="535"/>
      <c r="BB289" s="535"/>
      <c r="BC289" s="535"/>
      <c r="BD289" s="535"/>
      <c r="BE289" s="535"/>
      <c r="BF289" s="535"/>
      <c r="BG289" s="535"/>
      <c r="BH289" s="535"/>
      <c r="BI289" s="535"/>
      <c r="BJ289" s="535"/>
      <c r="BK289" s="535"/>
      <c r="BL289" s="535"/>
      <c r="BM289" s="535"/>
      <c r="BN289" s="535"/>
      <c r="BO289" s="535"/>
      <c r="BP289" s="535"/>
      <c r="BQ289" s="535"/>
      <c r="BR289" s="535"/>
      <c r="BS289" s="535"/>
      <c r="BT289" s="535"/>
      <c r="BU289" s="535"/>
      <c r="BV289" s="535"/>
      <c r="BW289" s="535"/>
      <c r="BX289" s="535"/>
      <c r="BY289" s="535"/>
      <c r="BZ289" s="535"/>
      <c r="CA289" s="535"/>
      <c r="CB289" s="535"/>
      <c r="CC289" s="535"/>
      <c r="CD289" s="535"/>
      <c r="CE289" s="535"/>
      <c r="CF289" s="535"/>
      <c r="CG289" s="535"/>
      <c r="CH289" s="410"/>
      <c r="CI289" s="410"/>
      <c r="CJ289" s="410"/>
      <c r="CK289" s="410"/>
      <c r="CL289" s="410"/>
      <c r="CM289" s="410"/>
      <c r="CN289" s="410"/>
      <c r="CO289" s="410"/>
    </row>
    <row r="290" spans="1:93" s="412" customFormat="1" ht="18" customHeight="1" thickBot="1" x14ac:dyDescent="0.25">
      <c r="A290" s="2327" t="s">
        <v>1260</v>
      </c>
      <c r="B290" s="2328"/>
      <c r="C290" s="2328"/>
      <c r="D290" s="2328"/>
      <c r="E290" s="2328"/>
      <c r="F290" s="2328"/>
      <c r="G290" s="2328"/>
      <c r="H290" s="2328"/>
      <c r="I290" s="2328"/>
      <c r="J290" s="2029">
        <f>+P290</f>
        <v>0</v>
      </c>
      <c r="K290" s="2030"/>
      <c r="L290" s="2029">
        <f>+Q288</f>
        <v>0</v>
      </c>
      <c r="M290" s="1880"/>
      <c r="N290" s="21"/>
      <c r="O290" s="410"/>
      <c r="P290" s="585">
        <f>+P288-P289</f>
        <v>0</v>
      </c>
      <c r="Q290" s="585"/>
      <c r="R290" s="535"/>
      <c r="S290" s="534" t="s">
        <v>944</v>
      </c>
      <c r="T290" s="535"/>
      <c r="V290" s="535"/>
      <c r="W290" s="535">
        <f>+(V285+V286)*170</f>
        <v>0</v>
      </c>
      <c r="X290" s="535">
        <f>+X287*255+(X285+V286-X287)*170</f>
        <v>0</v>
      </c>
      <c r="Y290" s="535">
        <f>IF(W13=0,W290,X290)</f>
        <v>0</v>
      </c>
      <c r="Z290" s="615" t="s">
        <v>968</v>
      </c>
      <c r="AA290" s="534" t="s">
        <v>643</v>
      </c>
      <c r="AB290" s="535"/>
      <c r="AD290" s="535"/>
      <c r="AE290" s="590">
        <f>+AE288+AE287</f>
        <v>0</v>
      </c>
      <c r="AF290" s="590">
        <f>+AF288+AF287</f>
        <v>0</v>
      </c>
      <c r="AG290" s="590">
        <f>+AG288+AG287</f>
        <v>0</v>
      </c>
      <c r="AH290" s="535"/>
      <c r="AI290" s="535"/>
      <c r="AJ290" s="590">
        <f>+AJ288+AJ287</f>
        <v>0</v>
      </c>
      <c r="AK290" s="590">
        <f>+AK288+AK287</f>
        <v>0</v>
      </c>
      <c r="AL290" s="590">
        <f>+AL288+AL287</f>
        <v>0</v>
      </c>
      <c r="AM290" s="535"/>
      <c r="AN290" s="535"/>
      <c r="AO290" s="535"/>
      <c r="AP290" s="610"/>
      <c r="AQ290" s="610"/>
      <c r="AR290" s="610"/>
      <c r="AS290" s="535"/>
      <c r="AT290" s="615"/>
      <c r="AU290" s="615"/>
      <c r="AV290" s="610"/>
      <c r="AW290" s="616"/>
      <c r="AX290" s="615"/>
      <c r="AY290" s="615"/>
      <c r="AZ290" s="535"/>
      <c r="BA290" s="535"/>
      <c r="BB290" s="535"/>
      <c r="BC290" s="535"/>
      <c r="BD290" s="535"/>
      <c r="BE290" s="535"/>
      <c r="BF290" s="535"/>
      <c r="BG290" s="535"/>
      <c r="BH290" s="535"/>
      <c r="BI290" s="535"/>
      <c r="BJ290" s="535"/>
      <c r="BK290" s="535"/>
      <c r="BL290" s="535"/>
      <c r="BM290" s="535"/>
      <c r="BN290" s="535"/>
      <c r="BO290" s="535"/>
      <c r="BP290" s="535"/>
      <c r="BQ290" s="535"/>
      <c r="BR290" s="535"/>
      <c r="BS290" s="535"/>
      <c r="BT290" s="535"/>
      <c r="BU290" s="535"/>
      <c r="BV290" s="535"/>
      <c r="BW290" s="535"/>
      <c r="BX290" s="535"/>
      <c r="BY290" s="535"/>
      <c r="BZ290" s="535"/>
      <c r="CA290" s="535"/>
      <c r="CB290" s="535"/>
      <c r="CC290" s="535"/>
      <c r="CD290" s="535"/>
      <c r="CE290" s="535"/>
      <c r="CF290" s="535"/>
      <c r="CG290" s="535"/>
      <c r="CH290" s="410"/>
      <c r="CI290" s="410"/>
      <c r="CJ290" s="410"/>
      <c r="CK290" s="410"/>
      <c r="CL290" s="410"/>
      <c r="CM290" s="410"/>
      <c r="CN290" s="410"/>
      <c r="CO290" s="410"/>
    </row>
    <row r="291" spans="1:93" s="412" customFormat="1" ht="18" customHeight="1" thickBot="1" x14ac:dyDescent="0.25">
      <c r="A291" s="1533" t="s">
        <v>329</v>
      </c>
      <c r="B291" s="1534"/>
      <c r="C291" s="1534"/>
      <c r="D291" s="1534"/>
      <c r="E291" s="1535"/>
      <c r="F291" s="1535"/>
      <c r="G291" s="1535"/>
      <c r="H291" s="1535"/>
      <c r="I291" s="1536"/>
      <c r="J291" s="2206" t="str">
        <f>IF(J290="Fehler","Fehler",IF(J287="Fehler","Fehler",IF(J287&gt;0.1,IF(P287&lt;P290,"ja","nein")," ")))</f>
        <v xml:space="preserve"> </v>
      </c>
      <c r="K291" s="2212"/>
      <c r="L291" s="2206" t="str">
        <f>IF(L290="Fehler","Fehler",IF(L287="Fehler","Fehler",IF(Q287&gt;0.1,IF(Q287&lt;Q288,"ja","nein")," ")))</f>
        <v xml:space="preserve"> </v>
      </c>
      <c r="M291" s="2207"/>
      <c r="N291" s="21"/>
      <c r="O291" s="410"/>
      <c r="P291" s="594" t="e">
        <f>((P168+P165)/(F41+F42)*100)</f>
        <v>#DIV/0!</v>
      </c>
      <c r="Q291" s="535"/>
      <c r="R291" s="535"/>
      <c r="S291" s="1096" t="s">
        <v>946</v>
      </c>
      <c r="T291" s="1097"/>
      <c r="U291" s="1098"/>
      <c r="V291" s="1099"/>
      <c r="W291" s="1099">
        <f>+V289-W290</f>
        <v>0</v>
      </c>
      <c r="X291" s="1099">
        <f>+V289-X290</f>
        <v>0</v>
      </c>
      <c r="Y291" s="535" t="e">
        <f>+(G41+J96)*1000/(F41+F96)</f>
        <v>#DIV/0!</v>
      </c>
      <c r="Z291" s="535" t="s">
        <v>966</v>
      </c>
      <c r="AA291" s="1088" t="s">
        <v>963</v>
      </c>
      <c r="AB291" s="1087"/>
      <c r="AD291" s="535"/>
      <c r="AE291" s="535">
        <f>IF(V288&gt;=3,0,(AG289+AG287))</f>
        <v>0</v>
      </c>
      <c r="AF291" s="535"/>
      <c r="AG291" s="535"/>
      <c r="AH291" s="535"/>
      <c r="AI291" s="535"/>
      <c r="AJ291" s="535"/>
      <c r="AK291" s="535"/>
      <c r="AL291" s="535"/>
      <c r="AM291" s="535"/>
      <c r="AN291" s="535"/>
      <c r="AO291" s="535"/>
      <c r="AP291" s="535"/>
      <c r="AQ291" s="535"/>
      <c r="AR291" s="535"/>
      <c r="AS291" s="535"/>
      <c r="AT291" s="535"/>
      <c r="AU291" s="535"/>
      <c r="AV291" s="535"/>
      <c r="AW291" s="535"/>
      <c r="AX291" s="535"/>
      <c r="AY291" s="535"/>
      <c r="AZ291" s="535"/>
      <c r="BA291" s="535"/>
      <c r="BB291" s="535"/>
      <c r="BC291" s="535"/>
      <c r="BD291" s="535"/>
      <c r="BE291" s="535"/>
      <c r="BF291" s="535"/>
      <c r="BG291" s="535"/>
      <c r="BH291" s="535"/>
      <c r="BI291" s="535"/>
      <c r="BJ291" s="535"/>
      <c r="BK291" s="535"/>
      <c r="BL291" s="535"/>
      <c r="BM291" s="535"/>
      <c r="BN291" s="535"/>
      <c r="BO291" s="535"/>
      <c r="BP291" s="535"/>
      <c r="BQ291" s="535"/>
      <c r="BR291" s="535"/>
      <c r="BS291" s="535"/>
      <c r="BT291" s="535"/>
      <c r="BU291" s="535"/>
      <c r="BV291" s="535"/>
      <c r="BW291" s="535"/>
      <c r="BX291" s="535"/>
      <c r="BY291" s="535"/>
      <c r="BZ291" s="535"/>
      <c r="CA291" s="535"/>
      <c r="CB291" s="535"/>
      <c r="CC291" s="535"/>
      <c r="CD291" s="535"/>
      <c r="CE291" s="535"/>
      <c r="CF291" s="535"/>
      <c r="CG291" s="535"/>
      <c r="CH291" s="410"/>
      <c r="CI291" s="410"/>
      <c r="CJ291" s="410"/>
      <c r="CK291" s="410"/>
      <c r="CL291" s="410"/>
      <c r="CM291" s="410"/>
      <c r="CN291" s="410"/>
      <c r="CO291" s="410"/>
    </row>
    <row r="292" spans="1:93" s="416" customFormat="1" ht="10.5" customHeight="1" thickTop="1" x14ac:dyDescent="0.2">
      <c r="A292" s="35" t="s">
        <v>344</v>
      </c>
      <c r="B292" s="519" t="str">
        <f>IF(G5=0,"Betrieb ohne Fläche",V288)</f>
        <v>Betrieb ohne Fläche</v>
      </c>
      <c r="C292" s="519"/>
      <c r="D292" s="2"/>
      <c r="E292" s="2"/>
      <c r="F292" s="2"/>
      <c r="G292" s="2"/>
      <c r="H292" s="2"/>
      <c r="I292" s="3"/>
      <c r="J292" s="22"/>
      <c r="K292" s="22"/>
      <c r="L292" s="22"/>
      <c r="M292" s="22"/>
      <c r="N292" s="508"/>
      <c r="O292" s="418"/>
      <c r="P292" s="617"/>
      <c r="Q292" s="617"/>
      <c r="R292" s="617"/>
      <c r="S292" s="1100" t="s">
        <v>945</v>
      </c>
      <c r="T292" s="1099"/>
      <c r="U292" s="1101"/>
      <c r="V292" s="1099"/>
      <c r="W292" s="1099" t="e">
        <f>+(W290*6+W291*9)/V289</f>
        <v>#DIV/0!</v>
      </c>
      <c r="X292" s="1099" t="e">
        <f>+(X290*6+X291*9)/V289</f>
        <v>#DIV/0!</v>
      </c>
      <c r="Y292" s="617" t="e">
        <f>IF(Y291=0,0,Y290/Y291)</f>
        <v>#DIV/0!</v>
      </c>
      <c r="Z292" s="617" t="s">
        <v>1</v>
      </c>
      <c r="AA292" s="534" t="s">
        <v>964</v>
      </c>
      <c r="AB292" s="535"/>
      <c r="AD292" s="535"/>
      <c r="AE292" s="535" t="e">
        <f>+IF(Y292&gt;AE291,Y292,AE291)</f>
        <v>#DIV/0!</v>
      </c>
      <c r="AF292" s="535"/>
      <c r="AG292" s="617"/>
      <c r="AH292" s="617"/>
      <c r="AI292" s="617"/>
      <c r="AJ292" s="617"/>
      <c r="AK292" s="617"/>
      <c r="AL292" s="617"/>
      <c r="AM292" s="617"/>
      <c r="AN292" s="617"/>
      <c r="AO292" s="617"/>
      <c r="AP292" s="617"/>
      <c r="AQ292" s="617"/>
      <c r="AR292" s="617"/>
      <c r="AS292" s="617"/>
      <c r="AT292" s="617"/>
      <c r="AU292" s="617"/>
      <c r="AV292" s="617"/>
      <c r="AW292" s="617"/>
      <c r="AX292" s="617"/>
      <c r="AY292" s="617"/>
      <c r="AZ292" s="617"/>
      <c r="BA292" s="617"/>
      <c r="BB292" s="617"/>
      <c r="BC292" s="617"/>
      <c r="BD292" s="617"/>
      <c r="BE292" s="617"/>
      <c r="BF292" s="617"/>
      <c r="BG292" s="617"/>
      <c r="BH292" s="617"/>
      <c r="BI292" s="617"/>
      <c r="BJ292" s="617"/>
      <c r="BK292" s="617"/>
      <c r="BL292" s="617"/>
      <c r="BM292" s="617"/>
      <c r="BN292" s="617"/>
      <c r="BO292" s="617"/>
      <c r="BP292" s="617"/>
      <c r="BQ292" s="617"/>
      <c r="BR292" s="617"/>
      <c r="BS292" s="617"/>
      <c r="BT292" s="617"/>
      <c r="BU292" s="617"/>
      <c r="BV292" s="617"/>
      <c r="BW292" s="617"/>
      <c r="BX292" s="618"/>
      <c r="BY292" s="618"/>
      <c r="BZ292" s="618"/>
      <c r="CA292" s="618"/>
      <c r="CB292" s="617"/>
      <c r="CC292" s="617"/>
      <c r="CD292" s="617"/>
      <c r="CE292" s="617"/>
      <c r="CF292" s="617"/>
      <c r="CG292" s="617"/>
      <c r="CH292" s="418"/>
      <c r="CI292" s="418"/>
      <c r="CJ292" s="418"/>
      <c r="CK292" s="418"/>
      <c r="CL292" s="418"/>
      <c r="CM292" s="418"/>
      <c r="CN292" s="418"/>
      <c r="CO292" s="418"/>
    </row>
    <row r="293" spans="1:93" s="416" customFormat="1" ht="12.75" customHeight="1" x14ac:dyDescent="0.2">
      <c r="A293" s="507" t="str">
        <f>IF(F41+F42=0," ",IF(P291=" "," ",IF(P291&lt;=10," ",IF(P291&gt;10,"Achtung: Anlagenverordnung beachten; Gärsaft + verunreinigtes Wasser &gt; 10 % des Anfalls"))))</f>
        <v xml:space="preserve"> </v>
      </c>
      <c r="B293" s="1091"/>
      <c r="C293" s="1091"/>
      <c r="D293" s="2"/>
      <c r="E293" s="2"/>
      <c r="F293" s="2"/>
      <c r="G293" s="2"/>
      <c r="H293" s="2"/>
      <c r="I293" s="3"/>
      <c r="J293" s="3"/>
      <c r="K293" s="3"/>
      <c r="L293" s="21"/>
      <c r="M293" s="21"/>
      <c r="N293" s="508"/>
      <c r="O293" s="418"/>
      <c r="P293" s="617"/>
      <c r="Q293" s="617"/>
      <c r="R293" s="617"/>
      <c r="S293" s="1100" t="s">
        <v>949</v>
      </c>
      <c r="T293" s="1102"/>
      <c r="U293" s="1101"/>
      <c r="V293" s="1102"/>
      <c r="W293" s="1102">
        <f>IF((V285+G12)=0,9,IF(V288&gt;3,W292,6))</f>
        <v>9</v>
      </c>
      <c r="X293" s="1102">
        <f>IF((V285+G12)=0,9,IF(V288&gt;3,X292,6))</f>
        <v>9</v>
      </c>
      <c r="Y293" s="617"/>
      <c r="Z293" s="617"/>
      <c r="AA293" s="534"/>
      <c r="AB293" s="617"/>
      <c r="AD293" s="617"/>
      <c r="AE293" s="617"/>
      <c r="AF293" s="617"/>
      <c r="AG293" s="617"/>
      <c r="AH293" s="617"/>
      <c r="AI293" s="617"/>
      <c r="AJ293" s="617"/>
      <c r="AK293" s="617"/>
      <c r="AL293" s="617"/>
      <c r="AM293" s="617"/>
      <c r="AN293" s="617"/>
      <c r="AO293" s="617"/>
      <c r="AP293" s="617"/>
      <c r="AQ293" s="617"/>
      <c r="AR293" s="617"/>
      <c r="AS293" s="617"/>
      <c r="AT293" s="617"/>
      <c r="AU293" s="617"/>
      <c r="AV293" s="617"/>
      <c r="AW293" s="617"/>
      <c r="AX293" s="617"/>
      <c r="AY293" s="617"/>
      <c r="AZ293" s="617"/>
      <c r="BA293" s="617"/>
      <c r="BB293" s="617"/>
      <c r="BC293" s="617"/>
      <c r="BD293" s="617"/>
      <c r="BE293" s="617"/>
      <c r="BF293" s="617"/>
      <c r="BG293" s="617"/>
      <c r="BH293" s="617"/>
      <c r="BI293" s="617"/>
      <c r="BJ293" s="617"/>
      <c r="BK293" s="617"/>
      <c r="BL293" s="617"/>
      <c r="BM293" s="617"/>
      <c r="BN293" s="617"/>
      <c r="BO293" s="617"/>
      <c r="BP293" s="617"/>
      <c r="BQ293" s="617"/>
      <c r="BR293" s="617"/>
      <c r="BS293" s="617"/>
      <c r="BT293" s="618"/>
      <c r="BU293" s="618"/>
      <c r="BV293" s="618"/>
      <c r="BW293" s="618"/>
      <c r="BX293" s="617"/>
      <c r="BY293" s="617"/>
      <c r="BZ293" s="617"/>
      <c r="CA293" s="617"/>
      <c r="CB293" s="617"/>
      <c r="CC293" s="617"/>
      <c r="CD293" s="418"/>
      <c r="CE293" s="418"/>
      <c r="CF293" s="418"/>
      <c r="CG293" s="418"/>
      <c r="CH293" s="418"/>
      <c r="CI293" s="418"/>
      <c r="CJ293" s="418"/>
      <c r="CK293" s="418"/>
    </row>
    <row r="294" spans="1:93" s="416" customFormat="1" ht="11.25" customHeight="1" x14ac:dyDescent="0.2">
      <c r="A294" s="31" t="s">
        <v>381</v>
      </c>
      <c r="B294" s="17"/>
      <c r="C294" s="17"/>
      <c r="D294" s="17"/>
      <c r="E294" s="17"/>
      <c r="F294" s="17"/>
      <c r="G294" s="17"/>
      <c r="H294" s="17"/>
      <c r="I294" s="17"/>
      <c r="J294" s="17"/>
      <c r="K294" s="17"/>
      <c r="L294" s="4"/>
      <c r="M294" s="4"/>
      <c r="N294" s="508"/>
      <c r="O294" s="418"/>
      <c r="P294" s="617"/>
      <c r="Q294" s="617"/>
      <c r="R294" s="617"/>
      <c r="S294" s="617"/>
      <c r="T294" s="617"/>
      <c r="U294" s="617"/>
      <c r="V294" s="617"/>
      <c r="W294" s="617"/>
      <c r="X294" s="617"/>
      <c r="Y294" s="617"/>
      <c r="Z294" s="617"/>
      <c r="AA294" s="617" t="s">
        <v>960</v>
      </c>
      <c r="AB294" s="617"/>
      <c r="AC294" s="617"/>
      <c r="AD294" s="617"/>
      <c r="AE294" s="617" t="e">
        <f>IF(AG290&lt;AE292,AG290,AE292)</f>
        <v>#DIV/0!</v>
      </c>
      <c r="AF294" s="617"/>
      <c r="AG294" s="617"/>
      <c r="AH294" s="617"/>
      <c r="AI294" s="617" t="s">
        <v>938</v>
      </c>
      <c r="AJ294" s="617"/>
      <c r="AK294" s="617"/>
      <c r="AL294" s="617"/>
      <c r="AM294" s="617"/>
      <c r="AN294" s="617"/>
      <c r="AO294" s="617"/>
      <c r="AP294" s="617"/>
      <c r="AQ294" s="617"/>
      <c r="AR294" s="617"/>
      <c r="AS294" s="617"/>
      <c r="AT294" s="617"/>
      <c r="AU294" s="617"/>
      <c r="AV294" s="617"/>
      <c r="AW294" s="617"/>
      <c r="AX294" s="617"/>
      <c r="AY294" s="617"/>
      <c r="AZ294" s="617"/>
      <c r="BA294" s="617"/>
      <c r="BB294" s="617"/>
      <c r="BC294" s="617"/>
      <c r="BD294" s="617"/>
      <c r="BE294" s="617"/>
      <c r="BF294" s="617"/>
      <c r="BG294" s="617"/>
      <c r="BH294" s="617"/>
      <c r="BI294" s="617"/>
      <c r="BJ294" s="617"/>
      <c r="BK294" s="617"/>
      <c r="BL294" s="617"/>
      <c r="BM294" s="617"/>
      <c r="BN294" s="617"/>
      <c r="BO294" s="617"/>
      <c r="BP294" s="617"/>
      <c r="BQ294" s="617"/>
      <c r="BR294" s="617"/>
      <c r="BS294" s="617"/>
      <c r="BT294" s="618"/>
      <c r="BU294" s="618"/>
      <c r="BV294" s="618"/>
      <c r="BW294" s="618"/>
      <c r="BX294" s="617"/>
      <c r="BY294" s="617"/>
      <c r="BZ294" s="617"/>
      <c r="CA294" s="617"/>
      <c r="CB294" s="617"/>
      <c r="CC294" s="617"/>
      <c r="CD294" s="418"/>
      <c r="CE294" s="418"/>
      <c r="CF294" s="418"/>
      <c r="CG294" s="418"/>
      <c r="CH294" s="418"/>
      <c r="CI294" s="418"/>
      <c r="CJ294" s="418"/>
      <c r="CK294" s="418"/>
    </row>
    <row r="295" spans="1:93" s="416" customFormat="1" ht="34.5" customHeight="1" x14ac:dyDescent="0.2">
      <c r="A295" s="2230" t="s">
        <v>1259</v>
      </c>
      <c r="B295" s="2230"/>
      <c r="C295" s="2230"/>
      <c r="D295" s="2230"/>
      <c r="E295" s="2230"/>
      <c r="F295" s="2230"/>
      <c r="G295" s="2230"/>
      <c r="H295" s="2230"/>
      <c r="I295" s="2230"/>
      <c r="J295" s="2230"/>
      <c r="K295" s="2230"/>
      <c r="L295" s="2230"/>
      <c r="M295" s="2230"/>
      <c r="N295" s="508"/>
      <c r="O295" s="418"/>
      <c r="P295" s="617"/>
      <c r="Q295" s="617"/>
      <c r="R295" s="617"/>
      <c r="S295" s="617"/>
      <c r="T295" s="617"/>
      <c r="U295" s="617"/>
      <c r="V295" s="617"/>
      <c r="W295" s="617"/>
      <c r="X295" s="617"/>
      <c r="Y295" s="617"/>
      <c r="Z295" s="617"/>
      <c r="AA295" s="617" t="s">
        <v>961</v>
      </c>
      <c r="AB295" s="617"/>
      <c r="AC295" s="617"/>
      <c r="AD295" s="617"/>
      <c r="AE295" s="617"/>
      <c r="AF295" s="617"/>
      <c r="AG295" s="1103" t="e">
        <f>+AG290-AE294</f>
        <v>#DIV/0!</v>
      </c>
      <c r="AH295" s="617"/>
      <c r="AI295" s="617">
        <f>IF(AG290=0,0,IF(X5&lt;3,6,(AE294*6+AG295*9)/AG290))</f>
        <v>0</v>
      </c>
      <c r="AJ295" s="617"/>
      <c r="AK295" s="617"/>
      <c r="AL295" s="617"/>
      <c r="AM295" s="617"/>
      <c r="AN295" s="617"/>
      <c r="AO295" s="617"/>
      <c r="AP295" s="617"/>
      <c r="AQ295" s="617"/>
      <c r="AR295" s="617"/>
      <c r="AS295" s="617"/>
      <c r="AT295" s="617"/>
      <c r="AU295" s="617"/>
      <c r="AV295" s="617"/>
      <c r="AW295" s="617"/>
      <c r="AX295" s="617"/>
      <c r="AY295" s="617"/>
      <c r="AZ295" s="617"/>
      <c r="BA295" s="617"/>
      <c r="BB295" s="617"/>
      <c r="BC295" s="617"/>
      <c r="BD295" s="617"/>
      <c r="BE295" s="617"/>
      <c r="BF295" s="617"/>
      <c r="BG295" s="617"/>
      <c r="BH295" s="617"/>
      <c r="BI295" s="617"/>
      <c r="BJ295" s="617"/>
      <c r="BK295" s="617"/>
      <c r="BL295" s="617"/>
      <c r="BM295" s="617"/>
      <c r="BN295" s="617"/>
      <c r="BO295" s="617"/>
      <c r="BP295" s="617"/>
      <c r="BQ295" s="617"/>
      <c r="BR295" s="617"/>
      <c r="BS295" s="617"/>
      <c r="BT295" s="618"/>
      <c r="BU295" s="618"/>
      <c r="BV295" s="618"/>
      <c r="BW295" s="618"/>
      <c r="BX295" s="617"/>
      <c r="BY295" s="617"/>
      <c r="BZ295" s="617"/>
      <c r="CA295" s="617"/>
      <c r="CB295" s="617"/>
      <c r="CC295" s="617"/>
      <c r="CD295" s="418"/>
      <c r="CE295" s="418"/>
      <c r="CF295" s="418"/>
      <c r="CG295" s="418"/>
      <c r="CH295" s="418"/>
      <c r="CI295" s="418"/>
      <c r="CJ295" s="418"/>
      <c r="CK295" s="418"/>
    </row>
    <row r="296" spans="1:93" ht="10.5" customHeight="1" x14ac:dyDescent="0.2">
      <c r="A296" s="416" t="s">
        <v>391</v>
      </c>
      <c r="B296" s="416"/>
      <c r="C296" s="416"/>
      <c r="D296" s="416"/>
      <c r="E296" s="416"/>
      <c r="F296" s="416"/>
      <c r="G296" s="416">
        <f>V285</f>
        <v>0</v>
      </c>
      <c r="H296" s="416" t="s">
        <v>392</v>
      </c>
      <c r="I296" s="416"/>
      <c r="J296" s="17"/>
      <c r="K296" s="17"/>
      <c r="L296" s="4"/>
      <c r="M296" s="4"/>
      <c r="N296" s="17"/>
      <c r="O296" s="419"/>
      <c r="P296" s="550"/>
      <c r="Q296" s="550"/>
      <c r="R296" s="550"/>
      <c r="S296" s="550"/>
      <c r="T296" s="550"/>
      <c r="U296" s="550"/>
      <c r="V296" s="550"/>
      <c r="W296" s="550"/>
      <c r="X296" s="550"/>
      <c r="Y296" s="550"/>
      <c r="Z296" s="550"/>
      <c r="AA296" s="550"/>
      <c r="AB296" s="550"/>
      <c r="AC296" s="550"/>
      <c r="AD296" s="550"/>
      <c r="AE296" s="550"/>
      <c r="AF296" s="550"/>
      <c r="AG296" s="550"/>
      <c r="AH296" s="550"/>
      <c r="AI296" s="550"/>
      <c r="AJ296" s="550"/>
      <c r="AK296" s="550"/>
      <c r="AL296" s="550"/>
      <c r="AM296" s="550"/>
      <c r="AN296" s="550"/>
      <c r="AO296" s="550"/>
      <c r="AP296" s="550"/>
      <c r="AQ296" s="550"/>
      <c r="AR296" s="550"/>
      <c r="AS296" s="550"/>
      <c r="AT296" s="550"/>
      <c r="AU296" s="550"/>
      <c r="AV296" s="550"/>
      <c r="AW296" s="550"/>
      <c r="AX296" s="550"/>
      <c r="AY296" s="550"/>
      <c r="AZ296" s="550"/>
      <c r="BA296" s="550"/>
      <c r="BB296" s="550"/>
      <c r="BC296" s="550"/>
      <c r="BD296" s="550"/>
      <c r="BE296" s="550"/>
      <c r="BF296" s="550"/>
      <c r="BG296" s="550"/>
      <c r="BH296" s="550"/>
      <c r="BI296" s="550"/>
      <c r="BJ296" s="550"/>
      <c r="BK296" s="550"/>
      <c r="BL296" s="550"/>
      <c r="BM296" s="550"/>
      <c r="BN296" s="550"/>
      <c r="BO296" s="550"/>
      <c r="BP296" s="550"/>
      <c r="BQ296" s="550"/>
      <c r="BR296" s="550"/>
      <c r="BS296" s="550"/>
      <c r="BT296" s="527"/>
      <c r="BU296" s="527"/>
      <c r="BV296" s="527"/>
      <c r="BW296" s="527"/>
      <c r="BX296" s="550"/>
      <c r="BY296" s="550"/>
      <c r="BZ296" s="550"/>
      <c r="CA296" s="550"/>
      <c r="CB296" s="550"/>
      <c r="CC296" s="550"/>
      <c r="CD296" s="419"/>
      <c r="CE296" s="419"/>
      <c r="CF296" s="419"/>
      <c r="CG296" s="419"/>
      <c r="CH296" s="419"/>
      <c r="CI296" s="419"/>
      <c r="CJ296" s="419"/>
      <c r="CK296" s="419"/>
    </row>
    <row r="297" spans="1:93" ht="10.5" customHeight="1" x14ac:dyDescent="0.2">
      <c r="A297" s="324" t="s">
        <v>393</v>
      </c>
      <c r="B297" s="17"/>
      <c r="C297" s="17"/>
      <c r="D297" s="17"/>
      <c r="E297" s="17"/>
      <c r="F297" s="17"/>
      <c r="G297" s="418">
        <f>G12</f>
        <v>0</v>
      </c>
      <c r="H297" s="508" t="s">
        <v>392</v>
      </c>
      <c r="I297" s="17"/>
      <c r="J297" s="17"/>
      <c r="K297" s="17"/>
      <c r="L297" s="4"/>
      <c r="M297" s="4"/>
      <c r="N297" s="17"/>
      <c r="O297" s="419"/>
      <c r="P297" s="550"/>
      <c r="Q297" s="550"/>
      <c r="R297" s="550"/>
      <c r="S297" s="550"/>
      <c r="T297" s="550"/>
      <c r="U297" s="550"/>
      <c r="V297" s="550"/>
      <c r="W297" s="550"/>
      <c r="X297" s="550"/>
      <c r="Y297" s="550"/>
      <c r="Z297" s="550"/>
      <c r="AA297" s="550" t="s">
        <v>962</v>
      </c>
      <c r="AB297" s="550">
        <f>+AI295</f>
        <v>0</v>
      </c>
      <c r="AC297" s="550" t="s">
        <v>938</v>
      </c>
      <c r="AD297" s="550"/>
      <c r="AE297" s="550">
        <f>+AJ290*6</f>
        <v>0</v>
      </c>
      <c r="AF297" s="550">
        <f>+AK290*(AB297-6)</f>
        <v>0</v>
      </c>
      <c r="AG297" s="550">
        <f>+AF297+AE297</f>
        <v>0</v>
      </c>
      <c r="AH297" s="550"/>
      <c r="AI297" s="550"/>
      <c r="AJ297" s="550"/>
      <c r="AK297" s="550"/>
      <c r="AL297" s="550"/>
      <c r="AM297" s="550"/>
      <c r="AN297" s="550"/>
      <c r="AO297" s="550"/>
      <c r="AP297" s="550"/>
      <c r="AQ297" s="550"/>
      <c r="AR297" s="550"/>
      <c r="AS297" s="550"/>
      <c r="AT297" s="550"/>
      <c r="AU297" s="550"/>
      <c r="AV297" s="550"/>
      <c r="AW297" s="550"/>
      <c r="AX297" s="550"/>
      <c r="AY297" s="550"/>
      <c r="AZ297" s="550"/>
      <c r="BA297" s="550"/>
      <c r="BB297" s="550"/>
      <c r="BC297" s="550"/>
      <c r="BD297" s="550"/>
      <c r="BE297" s="550"/>
      <c r="BF297" s="550"/>
      <c r="BG297" s="550"/>
      <c r="BH297" s="550"/>
      <c r="BI297" s="550"/>
      <c r="BJ297" s="550"/>
      <c r="BK297" s="550"/>
      <c r="BL297" s="550"/>
      <c r="BM297" s="550"/>
      <c r="BN297" s="550"/>
      <c r="BO297" s="550"/>
      <c r="BP297" s="550"/>
      <c r="BQ297" s="550"/>
      <c r="BR297" s="550"/>
      <c r="BS297" s="550"/>
      <c r="BT297" s="527"/>
      <c r="BU297" s="527"/>
      <c r="BV297" s="527"/>
      <c r="BW297" s="527"/>
      <c r="BX297" s="550"/>
      <c r="BY297" s="550"/>
      <c r="BZ297" s="550"/>
      <c r="CA297" s="550"/>
      <c r="CB297" s="550"/>
      <c r="CC297" s="550"/>
      <c r="CD297" s="419"/>
      <c r="CE297" s="419"/>
      <c r="CF297" s="419"/>
      <c r="CG297" s="419"/>
      <c r="CH297" s="419"/>
      <c r="CI297" s="419"/>
      <c r="CJ297" s="419"/>
      <c r="CK297" s="419"/>
    </row>
    <row r="298" spans="1:93" ht="8.25" customHeight="1" x14ac:dyDescent="0.2">
      <c r="A298" s="28"/>
      <c r="B298" s="2"/>
      <c r="C298" s="2"/>
      <c r="D298" s="322"/>
      <c r="E298" s="321"/>
      <c r="F298" s="3"/>
      <c r="G298" s="3"/>
      <c r="H298" s="3"/>
      <c r="I298" s="3"/>
      <c r="J298" s="29"/>
      <c r="K298" s="29"/>
      <c r="L298" s="21"/>
      <c r="M298" s="21"/>
      <c r="N298" s="4"/>
    </row>
    <row r="299" spans="1:93" ht="5.25" customHeight="1" x14ac:dyDescent="0.2">
      <c r="A299" s="4"/>
      <c r="B299" s="4"/>
      <c r="C299" s="4"/>
      <c r="D299" s="4"/>
      <c r="E299" s="4"/>
      <c r="F299" s="4"/>
      <c r="G299" s="4"/>
      <c r="H299" s="4"/>
      <c r="I299" s="4"/>
      <c r="J299" s="4"/>
      <c r="K299" s="4"/>
      <c r="L299" s="4"/>
      <c r="M299" s="4"/>
      <c r="N299" s="4"/>
    </row>
    <row r="300" spans="1:93" ht="3" customHeight="1" x14ac:dyDescent="0.2">
      <c r="A300" s="4"/>
      <c r="B300" s="4"/>
      <c r="C300" s="4"/>
      <c r="D300" s="4"/>
      <c r="E300" s="4"/>
      <c r="F300" s="4"/>
      <c r="G300" s="4"/>
      <c r="H300" s="4"/>
      <c r="I300" s="4"/>
      <c r="J300" s="4"/>
      <c r="K300" s="4"/>
      <c r="L300" s="4"/>
      <c r="M300" s="4"/>
      <c r="N300" s="4"/>
    </row>
    <row r="301" spans="1:93" ht="18.75" x14ac:dyDescent="0.2">
      <c r="A301" s="1833" t="s">
        <v>1043</v>
      </c>
      <c r="B301" s="1833"/>
      <c r="C301" s="1833"/>
      <c r="D301" s="1833"/>
      <c r="E301" s="1833"/>
      <c r="F301" s="1833"/>
      <c r="G301" s="1833"/>
      <c r="H301" s="1833"/>
      <c r="I301" s="1833"/>
      <c r="J301" s="1833"/>
      <c r="K301" s="1833"/>
      <c r="L301" s="1833"/>
      <c r="M301" s="1106"/>
      <c r="N301" s="699"/>
      <c r="O301" s="699"/>
      <c r="P301" s="699"/>
      <c r="Q301" s="699"/>
      <c r="R301" s="1043" t="s">
        <v>924</v>
      </c>
      <c r="S301" s="699"/>
      <c r="T301" s="699"/>
      <c r="X301" s="1043" t="s">
        <v>925</v>
      </c>
      <c r="Y301" s="699"/>
      <c r="Z301" s="699"/>
    </row>
    <row r="302" spans="1:93" ht="11.25" customHeight="1" thickBot="1" x14ac:dyDescent="0.3">
      <c r="A302" s="664"/>
      <c r="B302" s="463"/>
      <c r="C302" s="463"/>
      <c r="D302" s="463"/>
      <c r="E302" s="463"/>
      <c r="F302" s="671"/>
      <c r="G302" s="699"/>
      <c r="H302" s="699"/>
      <c r="I302" s="699"/>
      <c r="J302" s="699"/>
      <c r="K302" s="699"/>
      <c r="L302" s="699"/>
      <c r="M302" s="699"/>
      <c r="N302" s="699"/>
      <c r="O302" s="699"/>
      <c r="P302" s="699"/>
      <c r="Q302" s="699"/>
      <c r="R302" s="699"/>
      <c r="S302" s="699"/>
      <c r="T302" s="699"/>
      <c r="X302" s="699"/>
      <c r="Y302" s="699"/>
      <c r="Z302" s="699"/>
      <c r="AE302" s="1884" t="s">
        <v>13</v>
      </c>
      <c r="AF302" s="1884"/>
      <c r="AG302" s="1884" t="s">
        <v>1104</v>
      </c>
      <c r="AH302" s="1884"/>
      <c r="AI302" s="2002" t="s">
        <v>13</v>
      </c>
      <c r="AJ302" s="2014"/>
      <c r="AK302" s="2014" t="s">
        <v>1104</v>
      </c>
      <c r="AL302" s="2014"/>
    </row>
    <row r="303" spans="1:93" ht="18" x14ac:dyDescent="0.35">
      <c r="A303" s="1537" t="s">
        <v>1060</v>
      </c>
      <c r="B303" s="1424"/>
      <c r="C303" s="1424"/>
      <c r="D303" s="2333" t="s">
        <v>1107</v>
      </c>
      <c r="E303" s="1540" t="s">
        <v>870</v>
      </c>
      <c r="F303" s="1421" t="s">
        <v>355</v>
      </c>
      <c r="G303" s="1421" t="s">
        <v>356</v>
      </c>
      <c r="H303" s="2200" t="s">
        <v>868</v>
      </c>
      <c r="I303" s="2201"/>
      <c r="J303" s="1422" t="s">
        <v>4</v>
      </c>
      <c r="K303" s="2200" t="s">
        <v>1052</v>
      </c>
      <c r="L303" s="2201"/>
      <c r="M303" s="1423" t="s">
        <v>1059</v>
      </c>
      <c r="N303" s="4"/>
      <c r="O303" s="1039"/>
      <c r="R303" s="668" t="s">
        <v>221</v>
      </c>
      <c r="S303" s="668" t="s">
        <v>357</v>
      </c>
      <c r="T303" s="668" t="s">
        <v>4</v>
      </c>
      <c r="U303" s="668" t="s">
        <v>532</v>
      </c>
      <c r="V303" s="667" t="s">
        <v>533</v>
      </c>
      <c r="X303" s="668" t="s">
        <v>221</v>
      </c>
      <c r="Y303" s="668" t="s">
        <v>357</v>
      </c>
      <c r="Z303" s="668" t="s">
        <v>4</v>
      </c>
      <c r="AA303" s="668" t="s">
        <v>532</v>
      </c>
      <c r="AB303" s="667" t="s">
        <v>533</v>
      </c>
      <c r="AD303" s="650" t="s">
        <v>1105</v>
      </c>
      <c r="AE303" s="650" t="s">
        <v>4</v>
      </c>
      <c r="AF303" s="650" t="s">
        <v>1108</v>
      </c>
      <c r="AG303" s="650" t="s">
        <v>4</v>
      </c>
      <c r="AH303" s="650" t="s">
        <v>1108</v>
      </c>
      <c r="AI303" s="1576" t="s">
        <v>5</v>
      </c>
      <c r="AJ303" s="1577" t="s">
        <v>1121</v>
      </c>
      <c r="AK303" s="1576" t="s">
        <v>5</v>
      </c>
      <c r="AL303" s="1577" t="s">
        <v>1121</v>
      </c>
    </row>
    <row r="304" spans="1:93" ht="15.75" thickBot="1" x14ac:dyDescent="0.3">
      <c r="A304" s="1538" t="s">
        <v>869</v>
      </c>
      <c r="B304" s="1427"/>
      <c r="C304" s="1427"/>
      <c r="D304" s="2334"/>
      <c r="E304" s="1539"/>
      <c r="F304" s="1417" t="s">
        <v>535</v>
      </c>
      <c r="G304" s="1417" t="s">
        <v>2</v>
      </c>
      <c r="H304" s="2198" t="s">
        <v>867</v>
      </c>
      <c r="I304" s="2199"/>
      <c r="J304" s="1986" t="s">
        <v>313</v>
      </c>
      <c r="K304" s="1987"/>
      <c r="L304" s="1987"/>
      <c r="M304" s="1988"/>
      <c r="N304" s="4"/>
      <c r="O304" s="1039"/>
      <c r="R304" s="682" t="s">
        <v>860</v>
      </c>
      <c r="S304" s="682"/>
      <c r="T304" s="682"/>
      <c r="U304" s="682"/>
      <c r="V304" s="702"/>
      <c r="X304" s="682" t="s">
        <v>860</v>
      </c>
      <c r="Y304" s="682"/>
      <c r="Z304" s="682"/>
      <c r="AA304" s="682"/>
      <c r="AB304" s="702"/>
      <c r="AD304" s="650" t="s">
        <v>1106</v>
      </c>
      <c r="AE304" s="650" t="s">
        <v>294</v>
      </c>
      <c r="AF304" s="650" t="s">
        <v>294</v>
      </c>
      <c r="AG304" s="650" t="s">
        <v>294</v>
      </c>
      <c r="AH304" s="650" t="s">
        <v>294</v>
      </c>
      <c r="AI304" s="1576" t="s">
        <v>294</v>
      </c>
      <c r="AJ304" s="1577" t="s">
        <v>294</v>
      </c>
      <c r="AK304" s="1577" t="s">
        <v>294</v>
      </c>
      <c r="AL304" s="1577" t="s">
        <v>294</v>
      </c>
    </row>
    <row r="305" spans="1:38" ht="15.75" customHeight="1" x14ac:dyDescent="0.2">
      <c r="A305" s="2056"/>
      <c r="B305" s="2326"/>
      <c r="C305" s="2326"/>
      <c r="D305" s="1597"/>
      <c r="E305" s="1598"/>
      <c r="F305" s="1220"/>
      <c r="G305" s="1220"/>
      <c r="H305" s="2331"/>
      <c r="I305" s="2332"/>
      <c r="J305" s="1221"/>
      <c r="K305" s="2329"/>
      <c r="L305" s="2330"/>
      <c r="M305" s="1222"/>
      <c r="N305" s="458"/>
      <c r="O305" s="1039"/>
      <c r="P305" s="521" t="b">
        <v>0</v>
      </c>
      <c r="Q305" s="406">
        <f>IF(P305=TRUE,1,0)</f>
        <v>0</v>
      </c>
      <c r="R305" s="677">
        <f>+F305*G305/100*Q305</f>
        <v>0</v>
      </c>
      <c r="S305" s="677">
        <f>+F305*(100-G305)/100*Q305</f>
        <v>0</v>
      </c>
      <c r="T305" s="678">
        <f>+J305*$F305/1000*Q305</f>
        <v>0</v>
      </c>
      <c r="U305" s="678">
        <f>+K305*$F305/1000*Q305</f>
        <v>0</v>
      </c>
      <c r="V305" s="679">
        <f>+M305*$F305/1000*Q305</f>
        <v>0</v>
      </c>
      <c r="X305" s="677">
        <f>+(F305*G305/100)-R305</f>
        <v>0</v>
      </c>
      <c r="Y305" s="677">
        <f>+(F305*(100-G305)/100)-S305</f>
        <v>0</v>
      </c>
      <c r="Z305" s="1258">
        <f t="shared" ref="Z305:AA307" si="183">+(J305*$F305/1000)-T305</f>
        <v>0</v>
      </c>
      <c r="AA305" s="678">
        <f t="shared" si="183"/>
        <v>0</v>
      </c>
      <c r="AB305" s="679">
        <f>+(M305*$F305/1000)-V305</f>
        <v>0</v>
      </c>
      <c r="AD305" s="521">
        <v>1</v>
      </c>
      <c r="AE305" s="521">
        <f>IF(Q305=0,IF(AD305=3,Z305*AF305,0),0)</f>
        <v>0</v>
      </c>
      <c r="AF305" s="521">
        <f>IF(J97=0,0,J98/J97)</f>
        <v>0</v>
      </c>
      <c r="AG305" s="521">
        <f>IF(Q305=0,IF(AD305=1,Z305*AH305,0),0)</f>
        <v>0</v>
      </c>
      <c r="AH305" s="521">
        <f>IF(J93=0,0,J94/G41)</f>
        <v>0</v>
      </c>
      <c r="AI305" s="549">
        <f>IF(U305=0,IF(AH305=3,AD305*AJ305,0),0)</f>
        <v>0</v>
      </c>
      <c r="AJ305" s="550">
        <f>IF(K97=0,0,K98/K97)</f>
        <v>0</v>
      </c>
      <c r="AK305" s="550">
        <f>IF(U305=0,IF(AH305=1,AD305*AL305,0),0)</f>
        <v>0</v>
      </c>
      <c r="AL305" s="550">
        <f>IF(N93=0,0,N94/K41)</f>
        <v>0</v>
      </c>
    </row>
    <row r="306" spans="1:38" ht="15.75" customHeight="1" x14ac:dyDescent="0.2">
      <c r="A306" s="1840"/>
      <c r="B306" s="1885"/>
      <c r="C306" s="1885"/>
      <c r="D306" s="1599"/>
      <c r="E306" s="1600"/>
      <c r="F306" s="1201"/>
      <c r="G306" s="1201"/>
      <c r="H306" s="1881"/>
      <c r="I306" s="1882"/>
      <c r="J306" s="1219"/>
      <c r="K306" s="1875"/>
      <c r="L306" s="1876"/>
      <c r="M306" s="1223"/>
      <c r="N306" s="458"/>
      <c r="O306" s="1039"/>
      <c r="P306" s="521" t="b">
        <v>0</v>
      </c>
      <c r="Q306" s="406">
        <f>IF(P306=TRUE,1,0)</f>
        <v>0</v>
      </c>
      <c r="R306" s="677">
        <f>+F306*G306/100*Q306</f>
        <v>0</v>
      </c>
      <c r="S306" s="677">
        <f>+F306*(100-G306)/100*Q306</f>
        <v>0</v>
      </c>
      <c r="T306" s="678">
        <f>+J306*$F306/1000*Q306</f>
        <v>0</v>
      </c>
      <c r="U306" s="678">
        <f>+K306*$F306/1000*Q306</f>
        <v>0</v>
      </c>
      <c r="V306" s="679">
        <f>+M306*$F306/1000*Q306</f>
        <v>0</v>
      </c>
      <c r="X306" s="677">
        <f>+(F306*G306/100)-R306</f>
        <v>0</v>
      </c>
      <c r="Y306" s="677">
        <f>+(F306*(100-G306)/100)-S306</f>
        <v>0</v>
      </c>
      <c r="Z306" s="1257">
        <f t="shared" si="183"/>
        <v>0</v>
      </c>
      <c r="AA306" s="678">
        <f t="shared" si="183"/>
        <v>0</v>
      </c>
      <c r="AB306" s="679">
        <f>+(M306*$F306/1000)-V306</f>
        <v>0</v>
      </c>
      <c r="AD306" s="521">
        <v>1</v>
      </c>
      <c r="AE306" s="521">
        <f t="shared" ref="AE306:AE334" si="184">IF(Q306=0,IF(AD306=3,Z306*AF306,0),0)</f>
        <v>0</v>
      </c>
      <c r="AF306" s="521">
        <f>+AF305</f>
        <v>0</v>
      </c>
      <c r="AG306" s="521">
        <f t="shared" ref="AG306:AG334" si="185">IF(Q306=0,IF(AD306=1,Z306*AH306,0),0)</f>
        <v>0</v>
      </c>
      <c r="AH306" s="521">
        <f>+AH305</f>
        <v>0</v>
      </c>
      <c r="AI306" s="549">
        <f t="shared" ref="AI306:AI334" si="186">IF(U306=0,IF(AH306=3,AD306*AJ306,0),0)</f>
        <v>0</v>
      </c>
      <c r="AJ306" s="550">
        <f>+AJ305</f>
        <v>0</v>
      </c>
      <c r="AK306" s="550">
        <f t="shared" ref="AK306:AK334" si="187">IF(U306=0,IF(AH306=1,AD306*AL306,0),0)</f>
        <v>0</v>
      </c>
      <c r="AL306" s="550">
        <f>+AL305</f>
        <v>0</v>
      </c>
    </row>
    <row r="307" spans="1:38" ht="15.75" customHeight="1" x14ac:dyDescent="0.2">
      <c r="A307" s="1840"/>
      <c r="B307" s="1885"/>
      <c r="C307" s="1885"/>
      <c r="D307" s="1599"/>
      <c r="E307" s="1600"/>
      <c r="F307" s="1201"/>
      <c r="G307" s="1201"/>
      <c r="H307" s="1881"/>
      <c r="I307" s="1882"/>
      <c r="J307" s="1219"/>
      <c r="K307" s="1875"/>
      <c r="L307" s="1876"/>
      <c r="M307" s="1223"/>
      <c r="N307" s="458"/>
      <c r="O307" s="1039"/>
      <c r="P307" s="521" t="b">
        <v>0</v>
      </c>
      <c r="Q307" s="406">
        <f>IF(P307=TRUE,1,0)</f>
        <v>0</v>
      </c>
      <c r="R307" s="677">
        <f>+F307*G307/100*Q307</f>
        <v>0</v>
      </c>
      <c r="S307" s="677">
        <f>+F307*(100-G307)/100*Q307</f>
        <v>0</v>
      </c>
      <c r="T307" s="678">
        <f>+J307*$F307/1000*Q307</f>
        <v>0</v>
      </c>
      <c r="U307" s="678">
        <f>+K307*$F307/1000*Q307</f>
        <v>0</v>
      </c>
      <c r="V307" s="679">
        <f>+M307*$F307/1000*Q307</f>
        <v>0</v>
      </c>
      <c r="X307" s="677">
        <f>+(F307*G307/100)-R307</f>
        <v>0</v>
      </c>
      <c r="Y307" s="677">
        <f>+(F307*(100-G307)/100)-S307</f>
        <v>0</v>
      </c>
      <c r="Z307" s="678">
        <f t="shared" si="183"/>
        <v>0</v>
      </c>
      <c r="AA307" s="678">
        <f t="shared" si="183"/>
        <v>0</v>
      </c>
      <c r="AB307" s="679">
        <f>+(M307*$F307/1000)-V307</f>
        <v>0</v>
      </c>
      <c r="AD307" s="521">
        <v>1</v>
      </c>
      <c r="AE307" s="521">
        <f t="shared" si="184"/>
        <v>0</v>
      </c>
      <c r="AF307" s="521">
        <f t="shared" ref="AF307:AF334" si="188">+AF306</f>
        <v>0</v>
      </c>
      <c r="AG307" s="521">
        <f t="shared" si="185"/>
        <v>0</v>
      </c>
      <c r="AH307" s="521">
        <f t="shared" ref="AH307:AH334" si="189">+AH306</f>
        <v>0</v>
      </c>
      <c r="AI307" s="549">
        <f t="shared" si="186"/>
        <v>0</v>
      </c>
      <c r="AJ307" s="550">
        <f t="shared" ref="AJ307:AJ334" si="190">+AJ306</f>
        <v>0</v>
      </c>
      <c r="AK307" s="550">
        <f t="shared" si="187"/>
        <v>0</v>
      </c>
      <c r="AL307" s="550">
        <f t="shared" ref="AL307:AL334" si="191">+AL306</f>
        <v>0</v>
      </c>
    </row>
    <row r="308" spans="1:38" ht="15.75" customHeight="1" x14ac:dyDescent="0.2">
      <c r="A308" s="1840"/>
      <c r="B308" s="1885"/>
      <c r="C308" s="1885"/>
      <c r="D308" s="1599"/>
      <c r="E308" s="1600"/>
      <c r="F308" s="1201"/>
      <c r="G308" s="1201"/>
      <c r="H308" s="1881"/>
      <c r="I308" s="1882"/>
      <c r="J308" s="1219"/>
      <c r="K308" s="1875"/>
      <c r="L308" s="1876"/>
      <c r="M308" s="1223"/>
      <c r="N308" s="458"/>
      <c r="O308" s="1039"/>
      <c r="P308" s="521" t="b">
        <v>0</v>
      </c>
      <c r="Q308" s="406">
        <f t="shared" ref="Q308:Q334" si="192">IF(P308=TRUE,1,0)</f>
        <v>0</v>
      </c>
      <c r="R308" s="677">
        <f t="shared" ref="R308:R334" si="193">+F308*G308/100*Q308</f>
        <v>0</v>
      </c>
      <c r="S308" s="677">
        <f t="shared" ref="S308:S334" si="194">+F308*(100-G308)/100*Q308</f>
        <v>0</v>
      </c>
      <c r="T308" s="678">
        <f t="shared" ref="T308:T334" si="195">+J308*$F308/1000*Q308</f>
        <v>0</v>
      </c>
      <c r="U308" s="678">
        <f t="shared" ref="U308:U334" si="196">+K308*$F308/1000*Q308</f>
        <v>0</v>
      </c>
      <c r="V308" s="679">
        <f t="shared" ref="V308:V334" si="197">+M308*$F308/1000*Q308</f>
        <v>0</v>
      </c>
      <c r="X308" s="677">
        <f t="shared" ref="X308:X334" si="198">+(F308*G308/100)-R308</f>
        <v>0</v>
      </c>
      <c r="Y308" s="677">
        <f t="shared" ref="Y308:Y334" si="199">+(F308*(100-G308)/100)-S308</f>
        <v>0</v>
      </c>
      <c r="Z308" s="678">
        <f t="shared" ref="Z308:Z334" si="200">+(J308*$F308/1000)-T308</f>
        <v>0</v>
      </c>
      <c r="AA308" s="678">
        <f t="shared" ref="AA308:AA334" si="201">+(K308*$F308/1000)-U308</f>
        <v>0</v>
      </c>
      <c r="AB308" s="679">
        <f t="shared" ref="AB308:AB334" si="202">+(M308*$F308/1000)-V308</f>
        <v>0</v>
      </c>
      <c r="AD308" s="521">
        <v>1</v>
      </c>
      <c r="AE308" s="521">
        <f t="shared" si="184"/>
        <v>0</v>
      </c>
      <c r="AF308" s="521">
        <f t="shared" si="188"/>
        <v>0</v>
      </c>
      <c r="AG308" s="521">
        <f t="shared" si="185"/>
        <v>0</v>
      </c>
      <c r="AH308" s="521">
        <f t="shared" si="189"/>
        <v>0</v>
      </c>
      <c r="AI308" s="549">
        <f t="shared" si="186"/>
        <v>0</v>
      </c>
      <c r="AJ308" s="550">
        <f t="shared" si="190"/>
        <v>0</v>
      </c>
      <c r="AK308" s="550">
        <f t="shared" si="187"/>
        <v>0</v>
      </c>
      <c r="AL308" s="550">
        <f t="shared" si="191"/>
        <v>0</v>
      </c>
    </row>
    <row r="309" spans="1:38" ht="15.75" customHeight="1" x14ac:dyDescent="0.2">
      <c r="A309" s="1840"/>
      <c r="B309" s="1885"/>
      <c r="C309" s="1885"/>
      <c r="D309" s="1599"/>
      <c r="E309" s="1600"/>
      <c r="F309" s="1201"/>
      <c r="G309" s="1201"/>
      <c r="H309" s="1881"/>
      <c r="I309" s="1882"/>
      <c r="J309" s="1259"/>
      <c r="K309" s="1875"/>
      <c r="L309" s="1876"/>
      <c r="M309" s="1223"/>
      <c r="N309" s="458"/>
      <c r="O309" s="1039"/>
      <c r="P309" s="521" t="b">
        <v>0</v>
      </c>
      <c r="Q309" s="406">
        <f t="shared" si="192"/>
        <v>0</v>
      </c>
      <c r="R309" s="677">
        <f t="shared" si="193"/>
        <v>0</v>
      </c>
      <c r="S309" s="677">
        <f t="shared" si="194"/>
        <v>0</v>
      </c>
      <c r="T309" s="678">
        <f t="shared" si="195"/>
        <v>0</v>
      </c>
      <c r="U309" s="678">
        <f t="shared" si="196"/>
        <v>0</v>
      </c>
      <c r="V309" s="679">
        <f t="shared" si="197"/>
        <v>0</v>
      </c>
      <c r="X309" s="677">
        <f t="shared" si="198"/>
        <v>0</v>
      </c>
      <c r="Y309" s="677">
        <f t="shared" si="199"/>
        <v>0</v>
      </c>
      <c r="Z309" s="678">
        <f t="shared" si="200"/>
        <v>0</v>
      </c>
      <c r="AA309" s="678">
        <f t="shared" si="201"/>
        <v>0</v>
      </c>
      <c r="AB309" s="679">
        <f t="shared" si="202"/>
        <v>0</v>
      </c>
      <c r="AD309" s="521">
        <v>1</v>
      </c>
      <c r="AE309" s="521">
        <f t="shared" si="184"/>
        <v>0</v>
      </c>
      <c r="AF309" s="521">
        <f t="shared" si="188"/>
        <v>0</v>
      </c>
      <c r="AG309" s="521">
        <f t="shared" si="185"/>
        <v>0</v>
      </c>
      <c r="AH309" s="521">
        <f t="shared" si="189"/>
        <v>0</v>
      </c>
      <c r="AI309" s="549">
        <f t="shared" si="186"/>
        <v>0</v>
      </c>
      <c r="AJ309" s="550">
        <f t="shared" si="190"/>
        <v>0</v>
      </c>
      <c r="AK309" s="550">
        <f t="shared" si="187"/>
        <v>0</v>
      </c>
      <c r="AL309" s="550">
        <f t="shared" si="191"/>
        <v>0</v>
      </c>
    </row>
    <row r="310" spans="1:38" ht="15.75" customHeight="1" x14ac:dyDescent="0.2">
      <c r="A310" s="1840"/>
      <c r="B310" s="1885"/>
      <c r="C310" s="1885"/>
      <c r="D310" s="1599"/>
      <c r="E310" s="1600"/>
      <c r="F310" s="1201"/>
      <c r="G310" s="1201"/>
      <c r="H310" s="1881"/>
      <c r="I310" s="1882"/>
      <c r="J310" s="1219"/>
      <c r="K310" s="1875"/>
      <c r="L310" s="1876"/>
      <c r="M310" s="1223"/>
      <c r="N310" s="458"/>
      <c r="O310" s="1039"/>
      <c r="P310" s="521" t="b">
        <v>0</v>
      </c>
      <c r="Q310" s="406">
        <f t="shared" si="192"/>
        <v>0</v>
      </c>
      <c r="R310" s="677">
        <f t="shared" si="193"/>
        <v>0</v>
      </c>
      <c r="S310" s="677">
        <f t="shared" si="194"/>
        <v>0</v>
      </c>
      <c r="T310" s="678">
        <f t="shared" si="195"/>
        <v>0</v>
      </c>
      <c r="U310" s="678">
        <f t="shared" si="196"/>
        <v>0</v>
      </c>
      <c r="V310" s="679">
        <f t="shared" si="197"/>
        <v>0</v>
      </c>
      <c r="X310" s="677">
        <f t="shared" si="198"/>
        <v>0</v>
      </c>
      <c r="Y310" s="677">
        <f t="shared" si="199"/>
        <v>0</v>
      </c>
      <c r="Z310" s="678">
        <f t="shared" si="200"/>
        <v>0</v>
      </c>
      <c r="AA310" s="678">
        <f t="shared" si="201"/>
        <v>0</v>
      </c>
      <c r="AB310" s="679">
        <f t="shared" si="202"/>
        <v>0</v>
      </c>
      <c r="AD310" s="521">
        <v>1</v>
      </c>
      <c r="AE310" s="521">
        <f t="shared" si="184"/>
        <v>0</v>
      </c>
      <c r="AF310" s="521">
        <f t="shared" si="188"/>
        <v>0</v>
      </c>
      <c r="AG310" s="521">
        <f t="shared" si="185"/>
        <v>0</v>
      </c>
      <c r="AH310" s="521">
        <f t="shared" si="189"/>
        <v>0</v>
      </c>
      <c r="AI310" s="549">
        <f t="shared" si="186"/>
        <v>0</v>
      </c>
      <c r="AJ310" s="550">
        <f t="shared" si="190"/>
        <v>0</v>
      </c>
      <c r="AK310" s="550">
        <f t="shared" si="187"/>
        <v>0</v>
      </c>
      <c r="AL310" s="550">
        <f t="shared" si="191"/>
        <v>0</v>
      </c>
    </row>
    <row r="311" spans="1:38" ht="15.75" customHeight="1" x14ac:dyDescent="0.2">
      <c r="A311" s="1840"/>
      <c r="B311" s="1885"/>
      <c r="C311" s="1885"/>
      <c r="D311" s="1599"/>
      <c r="E311" s="1600"/>
      <c r="F311" s="1201"/>
      <c r="G311" s="1201"/>
      <c r="H311" s="1881"/>
      <c r="I311" s="1882"/>
      <c r="J311" s="1219"/>
      <c r="K311" s="1875"/>
      <c r="L311" s="1876"/>
      <c r="M311" s="1223"/>
      <c r="N311" s="458"/>
      <c r="O311" s="1039"/>
      <c r="P311" s="521" t="b">
        <v>0</v>
      </c>
      <c r="Q311" s="406">
        <f t="shared" si="192"/>
        <v>0</v>
      </c>
      <c r="R311" s="677">
        <f t="shared" si="193"/>
        <v>0</v>
      </c>
      <c r="S311" s="677">
        <f t="shared" si="194"/>
        <v>0</v>
      </c>
      <c r="T311" s="678">
        <f t="shared" si="195"/>
        <v>0</v>
      </c>
      <c r="U311" s="678">
        <f t="shared" si="196"/>
        <v>0</v>
      </c>
      <c r="V311" s="679">
        <f t="shared" si="197"/>
        <v>0</v>
      </c>
      <c r="X311" s="677">
        <f t="shared" si="198"/>
        <v>0</v>
      </c>
      <c r="Y311" s="677">
        <f t="shared" si="199"/>
        <v>0</v>
      </c>
      <c r="Z311" s="678">
        <f t="shared" si="200"/>
        <v>0</v>
      </c>
      <c r="AA311" s="678">
        <f t="shared" si="201"/>
        <v>0</v>
      </c>
      <c r="AB311" s="679">
        <f t="shared" si="202"/>
        <v>0</v>
      </c>
      <c r="AD311" s="521">
        <v>1</v>
      </c>
      <c r="AE311" s="521">
        <f t="shared" si="184"/>
        <v>0</v>
      </c>
      <c r="AF311" s="521">
        <f t="shared" si="188"/>
        <v>0</v>
      </c>
      <c r="AG311" s="521">
        <f t="shared" si="185"/>
        <v>0</v>
      </c>
      <c r="AH311" s="521">
        <f t="shared" si="189"/>
        <v>0</v>
      </c>
      <c r="AI311" s="549">
        <f t="shared" si="186"/>
        <v>0</v>
      </c>
      <c r="AJ311" s="550">
        <f t="shared" si="190"/>
        <v>0</v>
      </c>
      <c r="AK311" s="550">
        <f t="shared" si="187"/>
        <v>0</v>
      </c>
      <c r="AL311" s="550">
        <f t="shared" si="191"/>
        <v>0</v>
      </c>
    </row>
    <row r="312" spans="1:38" ht="15.75" customHeight="1" x14ac:dyDescent="0.2">
      <c r="A312" s="1840"/>
      <c r="B312" s="1885"/>
      <c r="C312" s="1885"/>
      <c r="D312" s="1599"/>
      <c r="E312" s="1600"/>
      <c r="F312" s="1201"/>
      <c r="G312" s="1201"/>
      <c r="H312" s="1881"/>
      <c r="I312" s="1882"/>
      <c r="J312" s="1219"/>
      <c r="K312" s="1875"/>
      <c r="L312" s="1876"/>
      <c r="M312" s="1223"/>
      <c r="N312" s="458"/>
      <c r="O312" s="1039"/>
      <c r="P312" s="521" t="b">
        <v>0</v>
      </c>
      <c r="Q312" s="406">
        <f t="shared" si="192"/>
        <v>0</v>
      </c>
      <c r="R312" s="677">
        <f t="shared" si="193"/>
        <v>0</v>
      </c>
      <c r="S312" s="677">
        <f t="shared" si="194"/>
        <v>0</v>
      </c>
      <c r="T312" s="678">
        <f t="shared" si="195"/>
        <v>0</v>
      </c>
      <c r="U312" s="678">
        <f t="shared" si="196"/>
        <v>0</v>
      </c>
      <c r="V312" s="679">
        <f t="shared" si="197"/>
        <v>0</v>
      </c>
      <c r="X312" s="677">
        <f t="shared" si="198"/>
        <v>0</v>
      </c>
      <c r="Y312" s="677">
        <f t="shared" si="199"/>
        <v>0</v>
      </c>
      <c r="Z312" s="678">
        <f t="shared" si="200"/>
        <v>0</v>
      </c>
      <c r="AA312" s="678">
        <f t="shared" si="201"/>
        <v>0</v>
      </c>
      <c r="AB312" s="679">
        <f t="shared" si="202"/>
        <v>0</v>
      </c>
      <c r="AD312" s="521">
        <v>1</v>
      </c>
      <c r="AE312" s="521">
        <f t="shared" si="184"/>
        <v>0</v>
      </c>
      <c r="AF312" s="521">
        <f t="shared" si="188"/>
        <v>0</v>
      </c>
      <c r="AG312" s="521">
        <f t="shared" si="185"/>
        <v>0</v>
      </c>
      <c r="AH312" s="521">
        <f t="shared" si="189"/>
        <v>0</v>
      </c>
      <c r="AI312" s="549">
        <f t="shared" si="186"/>
        <v>0</v>
      </c>
      <c r="AJ312" s="550">
        <f t="shared" si="190"/>
        <v>0</v>
      </c>
      <c r="AK312" s="550">
        <f t="shared" si="187"/>
        <v>0</v>
      </c>
      <c r="AL312" s="550">
        <f t="shared" si="191"/>
        <v>0</v>
      </c>
    </row>
    <row r="313" spans="1:38" ht="15.75" customHeight="1" x14ac:dyDescent="0.2">
      <c r="A313" s="1840"/>
      <c r="B313" s="1885"/>
      <c r="C313" s="1885"/>
      <c r="D313" s="1599"/>
      <c r="E313" s="1600"/>
      <c r="F313" s="1201"/>
      <c r="G313" s="1201"/>
      <c r="H313" s="1881"/>
      <c r="I313" s="1882"/>
      <c r="J313" s="1219"/>
      <c r="K313" s="1875"/>
      <c r="L313" s="1876"/>
      <c r="M313" s="1223"/>
      <c r="N313" s="458"/>
      <c r="O313" s="1039"/>
      <c r="P313" s="521" t="b">
        <v>0</v>
      </c>
      <c r="Q313" s="406">
        <f t="shared" si="192"/>
        <v>0</v>
      </c>
      <c r="R313" s="677">
        <f t="shared" si="193"/>
        <v>0</v>
      </c>
      <c r="S313" s="677">
        <f t="shared" si="194"/>
        <v>0</v>
      </c>
      <c r="T313" s="678">
        <f t="shared" si="195"/>
        <v>0</v>
      </c>
      <c r="U313" s="678">
        <f t="shared" si="196"/>
        <v>0</v>
      </c>
      <c r="V313" s="679">
        <f t="shared" si="197"/>
        <v>0</v>
      </c>
      <c r="X313" s="677">
        <f t="shared" si="198"/>
        <v>0</v>
      </c>
      <c r="Y313" s="677">
        <f t="shared" si="199"/>
        <v>0</v>
      </c>
      <c r="Z313" s="678">
        <f t="shared" si="200"/>
        <v>0</v>
      </c>
      <c r="AA313" s="678">
        <f t="shared" si="201"/>
        <v>0</v>
      </c>
      <c r="AB313" s="679">
        <f t="shared" si="202"/>
        <v>0</v>
      </c>
      <c r="AD313" s="521">
        <v>1</v>
      </c>
      <c r="AE313" s="521">
        <f t="shared" si="184"/>
        <v>0</v>
      </c>
      <c r="AF313" s="521">
        <f t="shared" si="188"/>
        <v>0</v>
      </c>
      <c r="AG313" s="521">
        <f t="shared" si="185"/>
        <v>0</v>
      </c>
      <c r="AH313" s="521">
        <f t="shared" si="189"/>
        <v>0</v>
      </c>
      <c r="AI313" s="549">
        <f t="shared" si="186"/>
        <v>0</v>
      </c>
      <c r="AJ313" s="550">
        <f t="shared" si="190"/>
        <v>0</v>
      </c>
      <c r="AK313" s="550">
        <f t="shared" si="187"/>
        <v>0</v>
      </c>
      <c r="AL313" s="550">
        <f t="shared" si="191"/>
        <v>0</v>
      </c>
    </row>
    <row r="314" spans="1:38" ht="15.75" customHeight="1" x14ac:dyDescent="0.2">
      <c r="A314" s="1840"/>
      <c r="B314" s="1885"/>
      <c r="C314" s="1885"/>
      <c r="D314" s="1599"/>
      <c r="E314" s="1600"/>
      <c r="F314" s="1201"/>
      <c r="G314" s="1201"/>
      <c r="H314" s="1881"/>
      <c r="I314" s="1882"/>
      <c r="J314" s="1219"/>
      <c r="K314" s="1875"/>
      <c r="L314" s="1876"/>
      <c r="M314" s="1223"/>
      <c r="N314" s="458"/>
      <c r="O314" s="1039"/>
      <c r="P314" s="521" t="b">
        <v>0</v>
      </c>
      <c r="Q314" s="406">
        <f t="shared" si="192"/>
        <v>0</v>
      </c>
      <c r="R314" s="677">
        <f t="shared" si="193"/>
        <v>0</v>
      </c>
      <c r="S314" s="677">
        <f t="shared" si="194"/>
        <v>0</v>
      </c>
      <c r="T314" s="678">
        <f t="shared" si="195"/>
        <v>0</v>
      </c>
      <c r="U314" s="678">
        <f t="shared" si="196"/>
        <v>0</v>
      </c>
      <c r="V314" s="679">
        <f t="shared" si="197"/>
        <v>0</v>
      </c>
      <c r="X314" s="677">
        <f t="shared" si="198"/>
        <v>0</v>
      </c>
      <c r="Y314" s="677">
        <f t="shared" si="199"/>
        <v>0</v>
      </c>
      <c r="Z314" s="678">
        <f t="shared" si="200"/>
        <v>0</v>
      </c>
      <c r="AA314" s="678">
        <f t="shared" si="201"/>
        <v>0</v>
      </c>
      <c r="AB314" s="679">
        <f t="shared" si="202"/>
        <v>0</v>
      </c>
      <c r="AD314" s="521">
        <v>1</v>
      </c>
      <c r="AE314" s="521">
        <f t="shared" si="184"/>
        <v>0</v>
      </c>
      <c r="AF314" s="521">
        <f t="shared" si="188"/>
        <v>0</v>
      </c>
      <c r="AG314" s="521">
        <f t="shared" si="185"/>
        <v>0</v>
      </c>
      <c r="AH314" s="521">
        <f t="shared" si="189"/>
        <v>0</v>
      </c>
      <c r="AI314" s="549">
        <f t="shared" si="186"/>
        <v>0</v>
      </c>
      <c r="AJ314" s="550">
        <f t="shared" si="190"/>
        <v>0</v>
      </c>
      <c r="AK314" s="550">
        <f t="shared" si="187"/>
        <v>0</v>
      </c>
      <c r="AL314" s="550">
        <f t="shared" si="191"/>
        <v>0</v>
      </c>
    </row>
    <row r="315" spans="1:38" ht="15.75" customHeight="1" x14ac:dyDescent="0.2">
      <c r="A315" s="1840"/>
      <c r="B315" s="1885"/>
      <c r="C315" s="1885"/>
      <c r="D315" s="1599"/>
      <c r="E315" s="1600"/>
      <c r="F315" s="1201"/>
      <c r="G315" s="1201"/>
      <c r="H315" s="1881"/>
      <c r="I315" s="1882"/>
      <c r="J315" s="1219"/>
      <c r="K315" s="1875"/>
      <c r="L315" s="1876"/>
      <c r="M315" s="1223"/>
      <c r="N315" s="458"/>
      <c r="O315" s="1039"/>
      <c r="P315" s="521" t="b">
        <v>0</v>
      </c>
      <c r="Q315" s="406">
        <f t="shared" si="192"/>
        <v>0</v>
      </c>
      <c r="R315" s="677">
        <f t="shared" si="193"/>
        <v>0</v>
      </c>
      <c r="S315" s="677">
        <f t="shared" si="194"/>
        <v>0</v>
      </c>
      <c r="T315" s="678">
        <f t="shared" si="195"/>
        <v>0</v>
      </c>
      <c r="U315" s="678">
        <f t="shared" si="196"/>
        <v>0</v>
      </c>
      <c r="V315" s="679">
        <f t="shared" si="197"/>
        <v>0</v>
      </c>
      <c r="X315" s="677">
        <f t="shared" si="198"/>
        <v>0</v>
      </c>
      <c r="Y315" s="677">
        <f t="shared" si="199"/>
        <v>0</v>
      </c>
      <c r="Z315" s="678">
        <f t="shared" si="200"/>
        <v>0</v>
      </c>
      <c r="AA315" s="678">
        <f t="shared" si="201"/>
        <v>0</v>
      </c>
      <c r="AB315" s="679">
        <f t="shared" si="202"/>
        <v>0</v>
      </c>
      <c r="AD315" s="521">
        <v>1</v>
      </c>
      <c r="AE315" s="521">
        <f t="shared" si="184"/>
        <v>0</v>
      </c>
      <c r="AF315" s="521">
        <f t="shared" si="188"/>
        <v>0</v>
      </c>
      <c r="AG315" s="521">
        <f t="shared" si="185"/>
        <v>0</v>
      </c>
      <c r="AH315" s="521">
        <f t="shared" si="189"/>
        <v>0</v>
      </c>
      <c r="AI315" s="549">
        <f t="shared" si="186"/>
        <v>0</v>
      </c>
      <c r="AJ315" s="550">
        <f t="shared" si="190"/>
        <v>0</v>
      </c>
      <c r="AK315" s="550">
        <f t="shared" si="187"/>
        <v>0</v>
      </c>
      <c r="AL315" s="550">
        <f t="shared" si="191"/>
        <v>0</v>
      </c>
    </row>
    <row r="316" spans="1:38" ht="15.75" customHeight="1" x14ac:dyDescent="0.2">
      <c r="A316" s="1840"/>
      <c r="B316" s="1885"/>
      <c r="C316" s="1885"/>
      <c r="D316" s="1599"/>
      <c r="E316" s="1600"/>
      <c r="F316" s="1201"/>
      <c r="G316" s="1201"/>
      <c r="H316" s="1881"/>
      <c r="I316" s="1882"/>
      <c r="J316" s="1219"/>
      <c r="K316" s="1875"/>
      <c r="L316" s="1876"/>
      <c r="M316" s="1223"/>
      <c r="N316" s="458"/>
      <c r="O316" s="1039"/>
      <c r="P316" s="521" t="b">
        <v>0</v>
      </c>
      <c r="Q316" s="406">
        <f t="shared" si="192"/>
        <v>0</v>
      </c>
      <c r="R316" s="677">
        <f t="shared" si="193"/>
        <v>0</v>
      </c>
      <c r="S316" s="677">
        <f t="shared" si="194"/>
        <v>0</v>
      </c>
      <c r="T316" s="678">
        <f t="shared" si="195"/>
        <v>0</v>
      </c>
      <c r="U316" s="678">
        <f t="shared" si="196"/>
        <v>0</v>
      </c>
      <c r="V316" s="679">
        <f t="shared" si="197"/>
        <v>0</v>
      </c>
      <c r="X316" s="677">
        <f t="shared" si="198"/>
        <v>0</v>
      </c>
      <c r="Y316" s="677">
        <f t="shared" si="199"/>
        <v>0</v>
      </c>
      <c r="Z316" s="678">
        <f t="shared" si="200"/>
        <v>0</v>
      </c>
      <c r="AA316" s="678">
        <f t="shared" si="201"/>
        <v>0</v>
      </c>
      <c r="AB316" s="679">
        <f t="shared" si="202"/>
        <v>0</v>
      </c>
      <c r="AD316" s="521">
        <v>1</v>
      </c>
      <c r="AE316" s="521">
        <f t="shared" si="184"/>
        <v>0</v>
      </c>
      <c r="AF316" s="521">
        <f t="shared" si="188"/>
        <v>0</v>
      </c>
      <c r="AG316" s="521">
        <f t="shared" si="185"/>
        <v>0</v>
      </c>
      <c r="AH316" s="521">
        <f t="shared" si="189"/>
        <v>0</v>
      </c>
      <c r="AI316" s="549">
        <f t="shared" si="186"/>
        <v>0</v>
      </c>
      <c r="AJ316" s="550">
        <f t="shared" si="190"/>
        <v>0</v>
      </c>
      <c r="AK316" s="550">
        <f t="shared" si="187"/>
        <v>0</v>
      </c>
      <c r="AL316" s="550">
        <f t="shared" si="191"/>
        <v>0</v>
      </c>
    </row>
    <row r="317" spans="1:38" ht="15.75" customHeight="1" x14ac:dyDescent="0.2">
      <c r="A317" s="1840"/>
      <c r="B317" s="1885"/>
      <c r="C317" s="1885"/>
      <c r="D317" s="1599"/>
      <c r="E317" s="1600"/>
      <c r="F317" s="1201"/>
      <c r="G317" s="1201"/>
      <c r="H317" s="1881"/>
      <c r="I317" s="1882"/>
      <c r="J317" s="1219"/>
      <c r="K317" s="1875"/>
      <c r="L317" s="1876"/>
      <c r="M317" s="1223"/>
      <c r="N317" s="458"/>
      <c r="O317" s="1039"/>
      <c r="P317" s="521" t="b">
        <v>0</v>
      </c>
      <c r="Q317" s="406">
        <f t="shared" si="192"/>
        <v>0</v>
      </c>
      <c r="R317" s="677">
        <f t="shared" si="193"/>
        <v>0</v>
      </c>
      <c r="S317" s="677">
        <f t="shared" si="194"/>
        <v>0</v>
      </c>
      <c r="T317" s="678">
        <f t="shared" si="195"/>
        <v>0</v>
      </c>
      <c r="U317" s="678">
        <f t="shared" si="196"/>
        <v>0</v>
      </c>
      <c r="V317" s="679">
        <f t="shared" si="197"/>
        <v>0</v>
      </c>
      <c r="X317" s="677">
        <f t="shared" si="198"/>
        <v>0</v>
      </c>
      <c r="Y317" s="677">
        <f t="shared" si="199"/>
        <v>0</v>
      </c>
      <c r="Z317" s="678">
        <f t="shared" si="200"/>
        <v>0</v>
      </c>
      <c r="AA317" s="678">
        <f t="shared" si="201"/>
        <v>0</v>
      </c>
      <c r="AB317" s="679">
        <f t="shared" si="202"/>
        <v>0</v>
      </c>
      <c r="AD317" s="521">
        <v>1</v>
      </c>
      <c r="AE317" s="521">
        <f t="shared" si="184"/>
        <v>0</v>
      </c>
      <c r="AF317" s="521">
        <f t="shared" si="188"/>
        <v>0</v>
      </c>
      <c r="AG317" s="521">
        <f t="shared" si="185"/>
        <v>0</v>
      </c>
      <c r="AH317" s="521">
        <f t="shared" si="189"/>
        <v>0</v>
      </c>
      <c r="AI317" s="549">
        <f t="shared" si="186"/>
        <v>0</v>
      </c>
      <c r="AJ317" s="550">
        <f t="shared" si="190"/>
        <v>0</v>
      </c>
      <c r="AK317" s="550">
        <f t="shared" si="187"/>
        <v>0</v>
      </c>
      <c r="AL317" s="550">
        <f t="shared" si="191"/>
        <v>0</v>
      </c>
    </row>
    <row r="318" spans="1:38" ht="15.75" customHeight="1" x14ac:dyDescent="0.2">
      <c r="A318" s="1840"/>
      <c r="B318" s="1885"/>
      <c r="C318" s="1885"/>
      <c r="D318" s="1599"/>
      <c r="E318" s="1600"/>
      <c r="F318" s="1201"/>
      <c r="G318" s="1201"/>
      <c r="H318" s="1881"/>
      <c r="I318" s="1882"/>
      <c r="J318" s="1219"/>
      <c r="K318" s="1875"/>
      <c r="L318" s="1876"/>
      <c r="M318" s="1223"/>
      <c r="N318" s="458"/>
      <c r="O318" s="1039"/>
      <c r="P318" s="521" t="b">
        <v>0</v>
      </c>
      <c r="Q318" s="406">
        <f t="shared" si="192"/>
        <v>0</v>
      </c>
      <c r="R318" s="677">
        <f t="shared" si="193"/>
        <v>0</v>
      </c>
      <c r="S318" s="677">
        <f t="shared" si="194"/>
        <v>0</v>
      </c>
      <c r="T318" s="678">
        <f t="shared" si="195"/>
        <v>0</v>
      </c>
      <c r="U318" s="678">
        <f t="shared" si="196"/>
        <v>0</v>
      </c>
      <c r="V318" s="679">
        <f t="shared" si="197"/>
        <v>0</v>
      </c>
      <c r="X318" s="677">
        <f t="shared" si="198"/>
        <v>0</v>
      </c>
      <c r="Y318" s="677">
        <f t="shared" si="199"/>
        <v>0</v>
      </c>
      <c r="Z318" s="678">
        <f t="shared" si="200"/>
        <v>0</v>
      </c>
      <c r="AA318" s="678">
        <f t="shared" si="201"/>
        <v>0</v>
      </c>
      <c r="AB318" s="679">
        <f t="shared" si="202"/>
        <v>0</v>
      </c>
      <c r="AD318" s="521">
        <v>1</v>
      </c>
      <c r="AE318" s="521">
        <f t="shared" si="184"/>
        <v>0</v>
      </c>
      <c r="AF318" s="521">
        <f t="shared" si="188"/>
        <v>0</v>
      </c>
      <c r="AG318" s="521">
        <f t="shared" si="185"/>
        <v>0</v>
      </c>
      <c r="AH318" s="521">
        <f t="shared" si="189"/>
        <v>0</v>
      </c>
      <c r="AI318" s="549">
        <f t="shared" si="186"/>
        <v>0</v>
      </c>
      <c r="AJ318" s="550">
        <f t="shared" si="190"/>
        <v>0</v>
      </c>
      <c r="AK318" s="550">
        <f t="shared" si="187"/>
        <v>0</v>
      </c>
      <c r="AL318" s="550">
        <f t="shared" si="191"/>
        <v>0</v>
      </c>
    </row>
    <row r="319" spans="1:38" ht="15.75" customHeight="1" x14ac:dyDescent="0.2">
      <c r="A319" s="1840"/>
      <c r="B319" s="1885"/>
      <c r="C319" s="1885"/>
      <c r="D319" s="1599"/>
      <c r="E319" s="1600"/>
      <c r="F319" s="1201"/>
      <c r="G319" s="1201"/>
      <c r="H319" s="1881"/>
      <c r="I319" s="1882"/>
      <c r="J319" s="1219"/>
      <c r="K319" s="1875"/>
      <c r="L319" s="1876"/>
      <c r="M319" s="1223"/>
      <c r="N319" s="458"/>
      <c r="O319" s="1039"/>
      <c r="P319" s="521" t="b">
        <v>0</v>
      </c>
      <c r="Q319" s="406">
        <f t="shared" si="192"/>
        <v>0</v>
      </c>
      <c r="R319" s="677">
        <f t="shared" si="193"/>
        <v>0</v>
      </c>
      <c r="S319" s="677">
        <f t="shared" si="194"/>
        <v>0</v>
      </c>
      <c r="T319" s="678">
        <f t="shared" si="195"/>
        <v>0</v>
      </c>
      <c r="U319" s="678">
        <f t="shared" si="196"/>
        <v>0</v>
      </c>
      <c r="V319" s="679">
        <f t="shared" si="197"/>
        <v>0</v>
      </c>
      <c r="X319" s="677">
        <f t="shared" si="198"/>
        <v>0</v>
      </c>
      <c r="Y319" s="677">
        <f t="shared" si="199"/>
        <v>0</v>
      </c>
      <c r="Z319" s="678">
        <f t="shared" si="200"/>
        <v>0</v>
      </c>
      <c r="AA319" s="678">
        <f t="shared" si="201"/>
        <v>0</v>
      </c>
      <c r="AB319" s="679">
        <f t="shared" si="202"/>
        <v>0</v>
      </c>
      <c r="AD319" s="521">
        <v>1</v>
      </c>
      <c r="AE319" s="521">
        <f t="shared" si="184"/>
        <v>0</v>
      </c>
      <c r="AF319" s="521">
        <f t="shared" si="188"/>
        <v>0</v>
      </c>
      <c r="AG319" s="521">
        <f t="shared" si="185"/>
        <v>0</v>
      </c>
      <c r="AH319" s="521">
        <f t="shared" si="189"/>
        <v>0</v>
      </c>
      <c r="AI319" s="549">
        <f t="shared" si="186"/>
        <v>0</v>
      </c>
      <c r="AJ319" s="550">
        <f t="shared" si="190"/>
        <v>0</v>
      </c>
      <c r="AK319" s="550">
        <f t="shared" si="187"/>
        <v>0</v>
      </c>
      <c r="AL319" s="550">
        <f t="shared" si="191"/>
        <v>0</v>
      </c>
    </row>
    <row r="320" spans="1:38" ht="15.75" customHeight="1" x14ac:dyDescent="0.2">
      <c r="A320" s="1840"/>
      <c r="B320" s="1885"/>
      <c r="C320" s="1885"/>
      <c r="D320" s="1599"/>
      <c r="E320" s="1600"/>
      <c r="F320" s="1201"/>
      <c r="G320" s="1201"/>
      <c r="H320" s="1881"/>
      <c r="I320" s="1882"/>
      <c r="J320" s="1219"/>
      <c r="K320" s="1875"/>
      <c r="L320" s="1876"/>
      <c r="M320" s="1223"/>
      <c r="N320" s="458"/>
      <c r="O320" s="1039"/>
      <c r="P320" s="521" t="b">
        <v>0</v>
      </c>
      <c r="Q320" s="406">
        <f t="shared" si="192"/>
        <v>0</v>
      </c>
      <c r="R320" s="677">
        <f t="shared" si="193"/>
        <v>0</v>
      </c>
      <c r="S320" s="677">
        <f t="shared" si="194"/>
        <v>0</v>
      </c>
      <c r="T320" s="678">
        <f t="shared" si="195"/>
        <v>0</v>
      </c>
      <c r="U320" s="678">
        <f t="shared" si="196"/>
        <v>0</v>
      </c>
      <c r="V320" s="679">
        <f t="shared" si="197"/>
        <v>0</v>
      </c>
      <c r="X320" s="677">
        <f t="shared" si="198"/>
        <v>0</v>
      </c>
      <c r="Y320" s="677">
        <f t="shared" si="199"/>
        <v>0</v>
      </c>
      <c r="Z320" s="678">
        <f t="shared" si="200"/>
        <v>0</v>
      </c>
      <c r="AA320" s="678">
        <f t="shared" si="201"/>
        <v>0</v>
      </c>
      <c r="AB320" s="679">
        <f t="shared" si="202"/>
        <v>0</v>
      </c>
      <c r="AD320" s="521">
        <v>1</v>
      </c>
      <c r="AE320" s="521">
        <f t="shared" si="184"/>
        <v>0</v>
      </c>
      <c r="AF320" s="521">
        <f t="shared" si="188"/>
        <v>0</v>
      </c>
      <c r="AG320" s="521">
        <f t="shared" si="185"/>
        <v>0</v>
      </c>
      <c r="AH320" s="521">
        <f t="shared" si="189"/>
        <v>0</v>
      </c>
      <c r="AI320" s="549">
        <f t="shared" si="186"/>
        <v>0</v>
      </c>
      <c r="AJ320" s="550">
        <f t="shared" si="190"/>
        <v>0</v>
      </c>
      <c r="AK320" s="550">
        <f t="shared" si="187"/>
        <v>0</v>
      </c>
      <c r="AL320" s="550">
        <f t="shared" si="191"/>
        <v>0</v>
      </c>
    </row>
    <row r="321" spans="1:38" ht="15.75" customHeight="1" x14ac:dyDescent="0.2">
      <c r="A321" s="1840"/>
      <c r="B321" s="1885"/>
      <c r="C321" s="1885"/>
      <c r="D321" s="1599"/>
      <c r="E321" s="1600"/>
      <c r="F321" s="1201"/>
      <c r="G321" s="1201"/>
      <c r="H321" s="1881"/>
      <c r="I321" s="1882"/>
      <c r="J321" s="1219"/>
      <c r="K321" s="1875"/>
      <c r="L321" s="1876"/>
      <c r="M321" s="1223"/>
      <c r="N321" s="458"/>
      <c r="O321" s="1039"/>
      <c r="P321" s="521" t="b">
        <v>0</v>
      </c>
      <c r="Q321" s="406">
        <f t="shared" si="192"/>
        <v>0</v>
      </c>
      <c r="R321" s="677">
        <f t="shared" si="193"/>
        <v>0</v>
      </c>
      <c r="S321" s="677">
        <f t="shared" si="194"/>
        <v>0</v>
      </c>
      <c r="T321" s="678">
        <f t="shared" si="195"/>
        <v>0</v>
      </c>
      <c r="U321" s="678">
        <f t="shared" si="196"/>
        <v>0</v>
      </c>
      <c r="V321" s="679">
        <f t="shared" si="197"/>
        <v>0</v>
      </c>
      <c r="X321" s="677">
        <f t="shared" si="198"/>
        <v>0</v>
      </c>
      <c r="Y321" s="677">
        <f t="shared" si="199"/>
        <v>0</v>
      </c>
      <c r="Z321" s="678">
        <f t="shared" si="200"/>
        <v>0</v>
      </c>
      <c r="AA321" s="678">
        <f t="shared" si="201"/>
        <v>0</v>
      </c>
      <c r="AB321" s="679">
        <f t="shared" si="202"/>
        <v>0</v>
      </c>
      <c r="AD321" s="521">
        <v>1</v>
      </c>
      <c r="AE321" s="521">
        <f t="shared" si="184"/>
        <v>0</v>
      </c>
      <c r="AF321" s="521">
        <f t="shared" si="188"/>
        <v>0</v>
      </c>
      <c r="AG321" s="521">
        <f t="shared" si="185"/>
        <v>0</v>
      </c>
      <c r="AH321" s="521">
        <f t="shared" si="189"/>
        <v>0</v>
      </c>
      <c r="AI321" s="549">
        <f t="shared" si="186"/>
        <v>0</v>
      </c>
      <c r="AJ321" s="550">
        <f t="shared" si="190"/>
        <v>0</v>
      </c>
      <c r="AK321" s="550">
        <f t="shared" si="187"/>
        <v>0</v>
      </c>
      <c r="AL321" s="550">
        <f t="shared" si="191"/>
        <v>0</v>
      </c>
    </row>
    <row r="322" spans="1:38" ht="15.75" customHeight="1" x14ac:dyDescent="0.2">
      <c r="A322" s="1840"/>
      <c r="B322" s="1885"/>
      <c r="C322" s="1885"/>
      <c r="D322" s="1599"/>
      <c r="E322" s="1600"/>
      <c r="F322" s="1201"/>
      <c r="G322" s="1201"/>
      <c r="H322" s="1881"/>
      <c r="I322" s="1882"/>
      <c r="J322" s="1219"/>
      <c r="K322" s="1875"/>
      <c r="L322" s="1876"/>
      <c r="M322" s="1223"/>
      <c r="N322" s="458"/>
      <c r="O322" s="1039"/>
      <c r="P322" s="521" t="b">
        <v>0</v>
      </c>
      <c r="Q322" s="406">
        <f t="shared" si="192"/>
        <v>0</v>
      </c>
      <c r="R322" s="677">
        <f t="shared" si="193"/>
        <v>0</v>
      </c>
      <c r="S322" s="677">
        <f t="shared" si="194"/>
        <v>0</v>
      </c>
      <c r="T322" s="678">
        <f t="shared" si="195"/>
        <v>0</v>
      </c>
      <c r="U322" s="678">
        <f t="shared" si="196"/>
        <v>0</v>
      </c>
      <c r="V322" s="679">
        <f t="shared" si="197"/>
        <v>0</v>
      </c>
      <c r="X322" s="677">
        <f t="shared" si="198"/>
        <v>0</v>
      </c>
      <c r="Y322" s="677">
        <f t="shared" si="199"/>
        <v>0</v>
      </c>
      <c r="Z322" s="678">
        <f t="shared" si="200"/>
        <v>0</v>
      </c>
      <c r="AA322" s="678">
        <f t="shared" si="201"/>
        <v>0</v>
      </c>
      <c r="AB322" s="679">
        <f t="shared" si="202"/>
        <v>0</v>
      </c>
      <c r="AD322" s="521">
        <v>1</v>
      </c>
      <c r="AE322" s="521">
        <f t="shared" si="184"/>
        <v>0</v>
      </c>
      <c r="AF322" s="521">
        <f t="shared" si="188"/>
        <v>0</v>
      </c>
      <c r="AG322" s="521">
        <f t="shared" si="185"/>
        <v>0</v>
      </c>
      <c r="AH322" s="521">
        <f t="shared" si="189"/>
        <v>0</v>
      </c>
      <c r="AI322" s="549">
        <f t="shared" si="186"/>
        <v>0</v>
      </c>
      <c r="AJ322" s="550">
        <f t="shared" si="190"/>
        <v>0</v>
      </c>
      <c r="AK322" s="550">
        <f t="shared" si="187"/>
        <v>0</v>
      </c>
      <c r="AL322" s="550">
        <f t="shared" si="191"/>
        <v>0</v>
      </c>
    </row>
    <row r="323" spans="1:38" ht="15.75" customHeight="1" x14ac:dyDescent="0.2">
      <c r="A323" s="1840"/>
      <c r="B323" s="1885"/>
      <c r="C323" s="1885"/>
      <c r="D323" s="1599"/>
      <c r="E323" s="1600"/>
      <c r="F323" s="1201"/>
      <c r="G323" s="1201"/>
      <c r="H323" s="1881"/>
      <c r="I323" s="1882"/>
      <c r="J323" s="1219"/>
      <c r="K323" s="1875"/>
      <c r="L323" s="1876"/>
      <c r="M323" s="1223"/>
      <c r="N323" s="458"/>
      <c r="O323" s="1039"/>
      <c r="P323" s="521" t="b">
        <v>0</v>
      </c>
      <c r="Q323" s="406">
        <f t="shared" si="192"/>
        <v>0</v>
      </c>
      <c r="R323" s="677">
        <f t="shared" si="193"/>
        <v>0</v>
      </c>
      <c r="S323" s="677">
        <f t="shared" si="194"/>
        <v>0</v>
      </c>
      <c r="T323" s="678">
        <f t="shared" si="195"/>
        <v>0</v>
      </c>
      <c r="U323" s="678">
        <f t="shared" si="196"/>
        <v>0</v>
      </c>
      <c r="V323" s="679">
        <f t="shared" si="197"/>
        <v>0</v>
      </c>
      <c r="X323" s="677">
        <f t="shared" si="198"/>
        <v>0</v>
      </c>
      <c r="Y323" s="677">
        <f t="shared" si="199"/>
        <v>0</v>
      </c>
      <c r="Z323" s="678">
        <f t="shared" si="200"/>
        <v>0</v>
      </c>
      <c r="AA323" s="678">
        <f t="shared" si="201"/>
        <v>0</v>
      </c>
      <c r="AB323" s="679">
        <f t="shared" si="202"/>
        <v>0</v>
      </c>
      <c r="AD323" s="521">
        <v>1</v>
      </c>
      <c r="AE323" s="521">
        <f t="shared" si="184"/>
        <v>0</v>
      </c>
      <c r="AF323" s="521">
        <f t="shared" si="188"/>
        <v>0</v>
      </c>
      <c r="AG323" s="521">
        <f t="shared" si="185"/>
        <v>0</v>
      </c>
      <c r="AH323" s="521">
        <f t="shared" si="189"/>
        <v>0</v>
      </c>
      <c r="AI323" s="549">
        <f t="shared" si="186"/>
        <v>0</v>
      </c>
      <c r="AJ323" s="550">
        <f t="shared" si="190"/>
        <v>0</v>
      </c>
      <c r="AK323" s="550">
        <f t="shared" si="187"/>
        <v>0</v>
      </c>
      <c r="AL323" s="550">
        <f t="shared" si="191"/>
        <v>0</v>
      </c>
    </row>
    <row r="324" spans="1:38" ht="15.75" customHeight="1" x14ac:dyDescent="0.2">
      <c r="A324" s="1840"/>
      <c r="B324" s="1885"/>
      <c r="C324" s="1885"/>
      <c r="D324" s="1599"/>
      <c r="E324" s="1600"/>
      <c r="F324" s="1201"/>
      <c r="G324" s="1201"/>
      <c r="H324" s="1881"/>
      <c r="I324" s="1882"/>
      <c r="J324" s="1219"/>
      <c r="K324" s="1875"/>
      <c r="L324" s="1876"/>
      <c r="M324" s="1223"/>
      <c r="N324" s="458"/>
      <c r="O324" s="1039"/>
      <c r="P324" s="521" t="b">
        <v>0</v>
      </c>
      <c r="Q324" s="406">
        <f t="shared" si="192"/>
        <v>0</v>
      </c>
      <c r="R324" s="677">
        <f t="shared" si="193"/>
        <v>0</v>
      </c>
      <c r="S324" s="677">
        <f t="shared" si="194"/>
        <v>0</v>
      </c>
      <c r="T324" s="678">
        <f t="shared" si="195"/>
        <v>0</v>
      </c>
      <c r="U324" s="678">
        <f t="shared" si="196"/>
        <v>0</v>
      </c>
      <c r="V324" s="679">
        <f t="shared" si="197"/>
        <v>0</v>
      </c>
      <c r="X324" s="677">
        <f t="shared" si="198"/>
        <v>0</v>
      </c>
      <c r="Y324" s="677">
        <f t="shared" si="199"/>
        <v>0</v>
      </c>
      <c r="Z324" s="678">
        <f t="shared" si="200"/>
        <v>0</v>
      </c>
      <c r="AA324" s="678">
        <f t="shared" si="201"/>
        <v>0</v>
      </c>
      <c r="AB324" s="679">
        <f t="shared" si="202"/>
        <v>0</v>
      </c>
      <c r="AD324" s="521">
        <v>1</v>
      </c>
      <c r="AE324" s="521">
        <f t="shared" si="184"/>
        <v>0</v>
      </c>
      <c r="AF324" s="521">
        <f t="shared" si="188"/>
        <v>0</v>
      </c>
      <c r="AG324" s="521">
        <f t="shared" si="185"/>
        <v>0</v>
      </c>
      <c r="AH324" s="521">
        <f t="shared" si="189"/>
        <v>0</v>
      </c>
      <c r="AI324" s="549">
        <f t="shared" si="186"/>
        <v>0</v>
      </c>
      <c r="AJ324" s="550">
        <f t="shared" si="190"/>
        <v>0</v>
      </c>
      <c r="AK324" s="550">
        <f t="shared" si="187"/>
        <v>0</v>
      </c>
      <c r="AL324" s="550">
        <f t="shared" si="191"/>
        <v>0</v>
      </c>
    </row>
    <row r="325" spans="1:38" ht="15.75" customHeight="1" x14ac:dyDescent="0.2">
      <c r="A325" s="1840"/>
      <c r="B325" s="1885"/>
      <c r="C325" s="1885"/>
      <c r="D325" s="1599"/>
      <c r="E325" s="1600"/>
      <c r="F325" s="1201"/>
      <c r="G325" s="1201"/>
      <c r="H325" s="1881"/>
      <c r="I325" s="1882"/>
      <c r="J325" s="1219"/>
      <c r="K325" s="1875"/>
      <c r="L325" s="1876"/>
      <c r="M325" s="1223"/>
      <c r="N325" s="458"/>
      <c r="O325" s="1039"/>
      <c r="P325" s="521" t="b">
        <v>0</v>
      </c>
      <c r="Q325" s="406">
        <f t="shared" si="192"/>
        <v>0</v>
      </c>
      <c r="R325" s="677">
        <f t="shared" si="193"/>
        <v>0</v>
      </c>
      <c r="S325" s="677">
        <f t="shared" si="194"/>
        <v>0</v>
      </c>
      <c r="T325" s="678">
        <f t="shared" si="195"/>
        <v>0</v>
      </c>
      <c r="U325" s="678">
        <f t="shared" si="196"/>
        <v>0</v>
      </c>
      <c r="V325" s="679">
        <f t="shared" si="197"/>
        <v>0</v>
      </c>
      <c r="X325" s="677">
        <f t="shared" si="198"/>
        <v>0</v>
      </c>
      <c r="Y325" s="677">
        <f t="shared" si="199"/>
        <v>0</v>
      </c>
      <c r="Z325" s="678">
        <f t="shared" si="200"/>
        <v>0</v>
      </c>
      <c r="AA325" s="678">
        <f t="shared" si="201"/>
        <v>0</v>
      </c>
      <c r="AB325" s="679">
        <f t="shared" si="202"/>
        <v>0</v>
      </c>
      <c r="AD325" s="521">
        <v>1</v>
      </c>
      <c r="AE325" s="521">
        <f t="shared" si="184"/>
        <v>0</v>
      </c>
      <c r="AF325" s="521">
        <f t="shared" si="188"/>
        <v>0</v>
      </c>
      <c r="AG325" s="521">
        <f t="shared" si="185"/>
        <v>0</v>
      </c>
      <c r="AH325" s="521">
        <f t="shared" si="189"/>
        <v>0</v>
      </c>
      <c r="AI325" s="549">
        <f t="shared" si="186"/>
        <v>0</v>
      </c>
      <c r="AJ325" s="550">
        <f t="shared" si="190"/>
        <v>0</v>
      </c>
      <c r="AK325" s="550">
        <f t="shared" si="187"/>
        <v>0</v>
      </c>
      <c r="AL325" s="550">
        <f t="shared" si="191"/>
        <v>0</v>
      </c>
    </row>
    <row r="326" spans="1:38" ht="15.75" customHeight="1" x14ac:dyDescent="0.2">
      <c r="A326" s="1840"/>
      <c r="B326" s="1885"/>
      <c r="C326" s="1885"/>
      <c r="D326" s="1599"/>
      <c r="E326" s="1600"/>
      <c r="F326" s="1201"/>
      <c r="G326" s="1201"/>
      <c r="H326" s="1881"/>
      <c r="I326" s="1882"/>
      <c r="J326" s="1219"/>
      <c r="K326" s="1875"/>
      <c r="L326" s="1876"/>
      <c r="M326" s="1223"/>
      <c r="N326" s="458"/>
      <c r="O326" s="1039"/>
      <c r="P326" s="521" t="b">
        <v>0</v>
      </c>
      <c r="Q326" s="406">
        <f t="shared" si="192"/>
        <v>0</v>
      </c>
      <c r="R326" s="677">
        <f t="shared" si="193"/>
        <v>0</v>
      </c>
      <c r="S326" s="677">
        <f t="shared" si="194"/>
        <v>0</v>
      </c>
      <c r="T326" s="678">
        <f t="shared" si="195"/>
        <v>0</v>
      </c>
      <c r="U326" s="678">
        <f t="shared" si="196"/>
        <v>0</v>
      </c>
      <c r="V326" s="679">
        <f t="shared" si="197"/>
        <v>0</v>
      </c>
      <c r="X326" s="677">
        <f t="shared" si="198"/>
        <v>0</v>
      </c>
      <c r="Y326" s="677">
        <f t="shared" si="199"/>
        <v>0</v>
      </c>
      <c r="Z326" s="678">
        <f t="shared" si="200"/>
        <v>0</v>
      </c>
      <c r="AA326" s="678">
        <f t="shared" si="201"/>
        <v>0</v>
      </c>
      <c r="AB326" s="679">
        <f t="shared" si="202"/>
        <v>0</v>
      </c>
      <c r="AD326" s="521">
        <v>1</v>
      </c>
      <c r="AE326" s="521">
        <f t="shared" si="184"/>
        <v>0</v>
      </c>
      <c r="AF326" s="521">
        <f t="shared" si="188"/>
        <v>0</v>
      </c>
      <c r="AG326" s="521">
        <f t="shared" si="185"/>
        <v>0</v>
      </c>
      <c r="AH326" s="521">
        <f t="shared" si="189"/>
        <v>0</v>
      </c>
      <c r="AI326" s="549">
        <f t="shared" si="186"/>
        <v>0</v>
      </c>
      <c r="AJ326" s="550">
        <f t="shared" si="190"/>
        <v>0</v>
      </c>
      <c r="AK326" s="550">
        <f t="shared" si="187"/>
        <v>0</v>
      </c>
      <c r="AL326" s="550">
        <f t="shared" si="191"/>
        <v>0</v>
      </c>
    </row>
    <row r="327" spans="1:38" ht="15.75" customHeight="1" x14ac:dyDescent="0.2">
      <c r="A327" s="1840"/>
      <c r="B327" s="1885"/>
      <c r="C327" s="1885"/>
      <c r="D327" s="1599"/>
      <c r="E327" s="1600"/>
      <c r="F327" s="1201"/>
      <c r="G327" s="1201"/>
      <c r="H327" s="1881"/>
      <c r="I327" s="1882"/>
      <c r="J327" s="1219"/>
      <c r="K327" s="1875"/>
      <c r="L327" s="1876"/>
      <c r="M327" s="1223"/>
      <c r="N327" s="458"/>
      <c r="O327" s="1039"/>
      <c r="P327" s="521" t="b">
        <v>0</v>
      </c>
      <c r="Q327" s="406">
        <f t="shared" si="192"/>
        <v>0</v>
      </c>
      <c r="R327" s="677">
        <f t="shared" si="193"/>
        <v>0</v>
      </c>
      <c r="S327" s="677">
        <f t="shared" si="194"/>
        <v>0</v>
      </c>
      <c r="T327" s="678">
        <f t="shared" si="195"/>
        <v>0</v>
      </c>
      <c r="U327" s="678">
        <f t="shared" si="196"/>
        <v>0</v>
      </c>
      <c r="V327" s="679">
        <f t="shared" si="197"/>
        <v>0</v>
      </c>
      <c r="X327" s="677">
        <f t="shared" si="198"/>
        <v>0</v>
      </c>
      <c r="Y327" s="677">
        <f t="shared" si="199"/>
        <v>0</v>
      </c>
      <c r="Z327" s="678">
        <f t="shared" si="200"/>
        <v>0</v>
      </c>
      <c r="AA327" s="678">
        <f t="shared" si="201"/>
        <v>0</v>
      </c>
      <c r="AB327" s="679">
        <f t="shared" si="202"/>
        <v>0</v>
      </c>
      <c r="AD327" s="521">
        <v>1</v>
      </c>
      <c r="AE327" s="521">
        <f t="shared" si="184"/>
        <v>0</v>
      </c>
      <c r="AF327" s="521">
        <f t="shared" si="188"/>
        <v>0</v>
      </c>
      <c r="AG327" s="521">
        <f t="shared" si="185"/>
        <v>0</v>
      </c>
      <c r="AH327" s="521">
        <f t="shared" si="189"/>
        <v>0</v>
      </c>
      <c r="AI327" s="549">
        <f t="shared" si="186"/>
        <v>0</v>
      </c>
      <c r="AJ327" s="550">
        <f t="shared" si="190"/>
        <v>0</v>
      </c>
      <c r="AK327" s="550">
        <f t="shared" si="187"/>
        <v>0</v>
      </c>
      <c r="AL327" s="550">
        <f t="shared" si="191"/>
        <v>0</v>
      </c>
    </row>
    <row r="328" spans="1:38" ht="15.75" customHeight="1" x14ac:dyDescent="0.2">
      <c r="A328" s="1840"/>
      <c r="B328" s="1885"/>
      <c r="C328" s="1885"/>
      <c r="D328" s="1599"/>
      <c r="E328" s="1600"/>
      <c r="F328" s="1201"/>
      <c r="G328" s="1201"/>
      <c r="H328" s="1881"/>
      <c r="I328" s="1882"/>
      <c r="J328" s="1219"/>
      <c r="K328" s="1875"/>
      <c r="L328" s="1876"/>
      <c r="M328" s="1223"/>
      <c r="N328" s="458"/>
      <c r="O328" s="1039"/>
      <c r="P328" s="521" t="b">
        <v>0</v>
      </c>
      <c r="Q328" s="406">
        <f t="shared" si="192"/>
        <v>0</v>
      </c>
      <c r="R328" s="677">
        <f t="shared" si="193"/>
        <v>0</v>
      </c>
      <c r="S328" s="677">
        <f t="shared" si="194"/>
        <v>0</v>
      </c>
      <c r="T328" s="678">
        <f t="shared" si="195"/>
        <v>0</v>
      </c>
      <c r="U328" s="678">
        <f t="shared" si="196"/>
        <v>0</v>
      </c>
      <c r="V328" s="679">
        <f t="shared" si="197"/>
        <v>0</v>
      </c>
      <c r="X328" s="677">
        <f t="shared" si="198"/>
        <v>0</v>
      </c>
      <c r="Y328" s="677">
        <f t="shared" si="199"/>
        <v>0</v>
      </c>
      <c r="Z328" s="678">
        <f t="shared" si="200"/>
        <v>0</v>
      </c>
      <c r="AA328" s="678">
        <f t="shared" si="201"/>
        <v>0</v>
      </c>
      <c r="AB328" s="679">
        <f t="shared" si="202"/>
        <v>0</v>
      </c>
      <c r="AD328" s="521">
        <v>1</v>
      </c>
      <c r="AE328" s="521">
        <f t="shared" si="184"/>
        <v>0</v>
      </c>
      <c r="AF328" s="521">
        <f t="shared" si="188"/>
        <v>0</v>
      </c>
      <c r="AG328" s="521">
        <f t="shared" si="185"/>
        <v>0</v>
      </c>
      <c r="AH328" s="521">
        <f t="shared" si="189"/>
        <v>0</v>
      </c>
      <c r="AI328" s="549">
        <f t="shared" si="186"/>
        <v>0</v>
      </c>
      <c r="AJ328" s="550">
        <f t="shared" si="190"/>
        <v>0</v>
      </c>
      <c r="AK328" s="550">
        <f t="shared" si="187"/>
        <v>0</v>
      </c>
      <c r="AL328" s="550">
        <f t="shared" si="191"/>
        <v>0</v>
      </c>
    </row>
    <row r="329" spans="1:38" ht="15.75" customHeight="1" x14ac:dyDescent="0.2">
      <c r="A329" s="1840"/>
      <c r="B329" s="1885"/>
      <c r="C329" s="1885"/>
      <c r="D329" s="1599"/>
      <c r="E329" s="1600"/>
      <c r="F329" s="1201"/>
      <c r="G329" s="1201"/>
      <c r="H329" s="1881"/>
      <c r="I329" s="1882"/>
      <c r="J329" s="1219"/>
      <c r="K329" s="1875"/>
      <c r="L329" s="1876"/>
      <c r="M329" s="1223"/>
      <c r="N329" s="458"/>
      <c r="O329" s="1039"/>
      <c r="P329" s="521" t="b">
        <v>0</v>
      </c>
      <c r="Q329" s="406">
        <f t="shared" si="192"/>
        <v>0</v>
      </c>
      <c r="R329" s="677">
        <f t="shared" si="193"/>
        <v>0</v>
      </c>
      <c r="S329" s="677">
        <f t="shared" si="194"/>
        <v>0</v>
      </c>
      <c r="T329" s="678">
        <f t="shared" si="195"/>
        <v>0</v>
      </c>
      <c r="U329" s="678">
        <f t="shared" si="196"/>
        <v>0</v>
      </c>
      <c r="V329" s="679">
        <f t="shared" si="197"/>
        <v>0</v>
      </c>
      <c r="X329" s="677">
        <f t="shared" si="198"/>
        <v>0</v>
      </c>
      <c r="Y329" s="677">
        <f t="shared" si="199"/>
        <v>0</v>
      </c>
      <c r="Z329" s="678">
        <f t="shared" si="200"/>
        <v>0</v>
      </c>
      <c r="AA329" s="678">
        <f t="shared" si="201"/>
        <v>0</v>
      </c>
      <c r="AB329" s="679">
        <f t="shared" si="202"/>
        <v>0</v>
      </c>
      <c r="AD329" s="521">
        <v>1</v>
      </c>
      <c r="AE329" s="521">
        <f t="shared" si="184"/>
        <v>0</v>
      </c>
      <c r="AF329" s="521">
        <f t="shared" si="188"/>
        <v>0</v>
      </c>
      <c r="AG329" s="521">
        <f t="shared" si="185"/>
        <v>0</v>
      </c>
      <c r="AH329" s="521">
        <f t="shared" si="189"/>
        <v>0</v>
      </c>
      <c r="AI329" s="549">
        <f t="shared" si="186"/>
        <v>0</v>
      </c>
      <c r="AJ329" s="550">
        <f t="shared" si="190"/>
        <v>0</v>
      </c>
      <c r="AK329" s="550">
        <f t="shared" si="187"/>
        <v>0</v>
      </c>
      <c r="AL329" s="550">
        <f t="shared" si="191"/>
        <v>0</v>
      </c>
    </row>
    <row r="330" spans="1:38" ht="15.75" customHeight="1" x14ac:dyDescent="0.2">
      <c r="A330" s="1840"/>
      <c r="B330" s="1885"/>
      <c r="C330" s="1885"/>
      <c r="D330" s="1599"/>
      <c r="E330" s="1600"/>
      <c r="F330" s="1201"/>
      <c r="G330" s="1201"/>
      <c r="H330" s="1881"/>
      <c r="I330" s="1882"/>
      <c r="J330" s="1219"/>
      <c r="K330" s="1875"/>
      <c r="L330" s="1876"/>
      <c r="M330" s="1223"/>
      <c r="N330" s="458"/>
      <c r="O330" s="1039"/>
      <c r="P330" s="521" t="b">
        <v>0</v>
      </c>
      <c r="Q330" s="406">
        <f t="shared" si="192"/>
        <v>0</v>
      </c>
      <c r="R330" s="677">
        <f t="shared" si="193"/>
        <v>0</v>
      </c>
      <c r="S330" s="677">
        <f t="shared" si="194"/>
        <v>0</v>
      </c>
      <c r="T330" s="678">
        <f t="shared" si="195"/>
        <v>0</v>
      </c>
      <c r="U330" s="678">
        <f t="shared" si="196"/>
        <v>0</v>
      </c>
      <c r="V330" s="679">
        <f t="shared" si="197"/>
        <v>0</v>
      </c>
      <c r="X330" s="677">
        <f t="shared" si="198"/>
        <v>0</v>
      </c>
      <c r="Y330" s="677">
        <f t="shared" si="199"/>
        <v>0</v>
      </c>
      <c r="Z330" s="678">
        <f t="shared" si="200"/>
        <v>0</v>
      </c>
      <c r="AA330" s="678">
        <f t="shared" si="201"/>
        <v>0</v>
      </c>
      <c r="AB330" s="679">
        <f t="shared" si="202"/>
        <v>0</v>
      </c>
      <c r="AD330" s="521">
        <v>1</v>
      </c>
      <c r="AE330" s="521">
        <f t="shared" si="184"/>
        <v>0</v>
      </c>
      <c r="AF330" s="521">
        <f t="shared" si="188"/>
        <v>0</v>
      </c>
      <c r="AG330" s="521">
        <f t="shared" si="185"/>
        <v>0</v>
      </c>
      <c r="AH330" s="521">
        <f t="shared" si="189"/>
        <v>0</v>
      </c>
      <c r="AI330" s="549">
        <f t="shared" si="186"/>
        <v>0</v>
      </c>
      <c r="AJ330" s="550">
        <f t="shared" si="190"/>
        <v>0</v>
      </c>
      <c r="AK330" s="550">
        <f t="shared" si="187"/>
        <v>0</v>
      </c>
      <c r="AL330" s="550">
        <f t="shared" si="191"/>
        <v>0</v>
      </c>
    </row>
    <row r="331" spans="1:38" ht="15.75" customHeight="1" x14ac:dyDescent="0.2">
      <c r="A331" s="1840"/>
      <c r="B331" s="1885"/>
      <c r="C331" s="1885"/>
      <c r="D331" s="1599"/>
      <c r="E331" s="1600"/>
      <c r="F331" s="1201"/>
      <c r="G331" s="1201"/>
      <c r="H331" s="1881"/>
      <c r="I331" s="1882"/>
      <c r="J331" s="1219"/>
      <c r="K331" s="1875"/>
      <c r="L331" s="1876"/>
      <c r="M331" s="1223"/>
      <c r="N331" s="458"/>
      <c r="O331" s="1039"/>
      <c r="P331" s="521" t="b">
        <v>0</v>
      </c>
      <c r="Q331" s="406">
        <f t="shared" si="192"/>
        <v>0</v>
      </c>
      <c r="R331" s="677">
        <f t="shared" si="193"/>
        <v>0</v>
      </c>
      <c r="S331" s="677">
        <f t="shared" si="194"/>
        <v>0</v>
      </c>
      <c r="T331" s="678">
        <f t="shared" si="195"/>
        <v>0</v>
      </c>
      <c r="U331" s="678">
        <f t="shared" si="196"/>
        <v>0</v>
      </c>
      <c r="V331" s="679">
        <f t="shared" si="197"/>
        <v>0</v>
      </c>
      <c r="X331" s="677">
        <f t="shared" si="198"/>
        <v>0</v>
      </c>
      <c r="Y331" s="677">
        <f t="shared" si="199"/>
        <v>0</v>
      </c>
      <c r="Z331" s="678">
        <f t="shared" si="200"/>
        <v>0</v>
      </c>
      <c r="AA331" s="678">
        <f t="shared" si="201"/>
        <v>0</v>
      </c>
      <c r="AB331" s="679">
        <f t="shared" si="202"/>
        <v>0</v>
      </c>
      <c r="AD331" s="521">
        <v>1</v>
      </c>
      <c r="AE331" s="521">
        <f t="shared" si="184"/>
        <v>0</v>
      </c>
      <c r="AF331" s="521">
        <f t="shared" si="188"/>
        <v>0</v>
      </c>
      <c r="AG331" s="521">
        <f t="shared" si="185"/>
        <v>0</v>
      </c>
      <c r="AH331" s="521">
        <f t="shared" si="189"/>
        <v>0</v>
      </c>
      <c r="AI331" s="549">
        <f t="shared" si="186"/>
        <v>0</v>
      </c>
      <c r="AJ331" s="550">
        <f t="shared" si="190"/>
        <v>0</v>
      </c>
      <c r="AK331" s="550">
        <f t="shared" si="187"/>
        <v>0</v>
      </c>
      <c r="AL331" s="550">
        <f t="shared" si="191"/>
        <v>0</v>
      </c>
    </row>
    <row r="332" spans="1:38" ht="15.75" customHeight="1" x14ac:dyDescent="0.2">
      <c r="A332" s="1840"/>
      <c r="B332" s="1885"/>
      <c r="C332" s="1885"/>
      <c r="D332" s="1599"/>
      <c r="E332" s="1600"/>
      <c r="F332" s="1201"/>
      <c r="G332" s="1201"/>
      <c r="H332" s="1881"/>
      <c r="I332" s="1882"/>
      <c r="J332" s="1219"/>
      <c r="K332" s="1875"/>
      <c r="L332" s="1876"/>
      <c r="M332" s="1223"/>
      <c r="N332" s="458"/>
      <c r="O332" s="1039"/>
      <c r="P332" s="521" t="b">
        <v>0</v>
      </c>
      <c r="Q332" s="406">
        <f t="shared" si="192"/>
        <v>0</v>
      </c>
      <c r="R332" s="677">
        <f t="shared" si="193"/>
        <v>0</v>
      </c>
      <c r="S332" s="677">
        <f t="shared" si="194"/>
        <v>0</v>
      </c>
      <c r="T332" s="678">
        <f t="shared" si="195"/>
        <v>0</v>
      </c>
      <c r="U332" s="678">
        <f t="shared" si="196"/>
        <v>0</v>
      </c>
      <c r="V332" s="679">
        <f t="shared" si="197"/>
        <v>0</v>
      </c>
      <c r="X332" s="677">
        <f t="shared" si="198"/>
        <v>0</v>
      </c>
      <c r="Y332" s="677">
        <f t="shared" si="199"/>
        <v>0</v>
      </c>
      <c r="Z332" s="678">
        <f t="shared" si="200"/>
        <v>0</v>
      </c>
      <c r="AA332" s="678">
        <f t="shared" si="201"/>
        <v>0</v>
      </c>
      <c r="AB332" s="679">
        <f t="shared" si="202"/>
        <v>0</v>
      </c>
      <c r="AD332" s="521">
        <v>1</v>
      </c>
      <c r="AE332" s="521">
        <f t="shared" si="184"/>
        <v>0</v>
      </c>
      <c r="AF332" s="521">
        <f t="shared" si="188"/>
        <v>0</v>
      </c>
      <c r="AG332" s="521">
        <f t="shared" si="185"/>
        <v>0</v>
      </c>
      <c r="AH332" s="521">
        <f t="shared" si="189"/>
        <v>0</v>
      </c>
      <c r="AI332" s="549">
        <f t="shared" si="186"/>
        <v>0</v>
      </c>
      <c r="AJ332" s="550">
        <f t="shared" si="190"/>
        <v>0</v>
      </c>
      <c r="AK332" s="550">
        <f t="shared" si="187"/>
        <v>0</v>
      </c>
      <c r="AL332" s="550">
        <f t="shared" si="191"/>
        <v>0</v>
      </c>
    </row>
    <row r="333" spans="1:38" ht="15.75" customHeight="1" x14ac:dyDescent="0.2">
      <c r="A333" s="1840"/>
      <c r="B333" s="1885"/>
      <c r="C333" s="1885"/>
      <c r="D333" s="1599"/>
      <c r="E333" s="1600"/>
      <c r="F333" s="1201"/>
      <c r="G333" s="1201"/>
      <c r="H333" s="1881"/>
      <c r="I333" s="1882"/>
      <c r="J333" s="1219"/>
      <c r="K333" s="1875"/>
      <c r="L333" s="1876"/>
      <c r="M333" s="1223"/>
      <c r="N333" s="458"/>
      <c r="O333" s="1039"/>
      <c r="P333" s="521" t="b">
        <v>0</v>
      </c>
      <c r="Q333" s="406">
        <f t="shared" si="192"/>
        <v>0</v>
      </c>
      <c r="R333" s="677">
        <f t="shared" si="193"/>
        <v>0</v>
      </c>
      <c r="S333" s="677">
        <f t="shared" si="194"/>
        <v>0</v>
      </c>
      <c r="T333" s="678">
        <f t="shared" si="195"/>
        <v>0</v>
      </c>
      <c r="U333" s="678">
        <f t="shared" si="196"/>
        <v>0</v>
      </c>
      <c r="V333" s="679">
        <f t="shared" si="197"/>
        <v>0</v>
      </c>
      <c r="X333" s="677">
        <f t="shared" si="198"/>
        <v>0</v>
      </c>
      <c r="Y333" s="677">
        <f t="shared" si="199"/>
        <v>0</v>
      </c>
      <c r="Z333" s="678">
        <f t="shared" si="200"/>
        <v>0</v>
      </c>
      <c r="AA333" s="678">
        <f t="shared" si="201"/>
        <v>0</v>
      </c>
      <c r="AB333" s="679">
        <f t="shared" si="202"/>
        <v>0</v>
      </c>
      <c r="AD333" s="521">
        <v>1</v>
      </c>
      <c r="AE333" s="521">
        <f t="shared" si="184"/>
        <v>0</v>
      </c>
      <c r="AF333" s="521">
        <f t="shared" si="188"/>
        <v>0</v>
      </c>
      <c r="AG333" s="521">
        <f t="shared" si="185"/>
        <v>0</v>
      </c>
      <c r="AH333" s="521">
        <f t="shared" si="189"/>
        <v>0</v>
      </c>
      <c r="AI333" s="549">
        <f t="shared" si="186"/>
        <v>0</v>
      </c>
      <c r="AJ333" s="550">
        <f t="shared" si="190"/>
        <v>0</v>
      </c>
      <c r="AK333" s="550">
        <f t="shared" si="187"/>
        <v>0</v>
      </c>
      <c r="AL333" s="550">
        <f t="shared" si="191"/>
        <v>0</v>
      </c>
    </row>
    <row r="334" spans="1:38" ht="15.75" customHeight="1" thickBot="1" x14ac:dyDescent="0.25">
      <c r="A334" s="2098"/>
      <c r="B334" s="2325"/>
      <c r="C334" s="2325"/>
      <c r="D334" s="1565"/>
      <c r="E334" s="1601"/>
      <c r="F334" s="1596"/>
      <c r="G334" s="1596"/>
      <c r="H334" s="1871"/>
      <c r="I334" s="1872"/>
      <c r="J334" s="1224"/>
      <c r="K334" s="1873"/>
      <c r="L334" s="1874"/>
      <c r="M334" s="1225"/>
      <c r="N334" s="458"/>
      <c r="O334" s="1039"/>
      <c r="P334" s="521" t="b">
        <v>0</v>
      </c>
      <c r="Q334" s="406">
        <f t="shared" si="192"/>
        <v>0</v>
      </c>
      <c r="R334" s="677">
        <f t="shared" si="193"/>
        <v>0</v>
      </c>
      <c r="S334" s="677">
        <f t="shared" si="194"/>
        <v>0</v>
      </c>
      <c r="T334" s="678">
        <f t="shared" si="195"/>
        <v>0</v>
      </c>
      <c r="U334" s="678">
        <f t="shared" si="196"/>
        <v>0</v>
      </c>
      <c r="V334" s="679">
        <f t="shared" si="197"/>
        <v>0</v>
      </c>
      <c r="X334" s="677">
        <f t="shared" si="198"/>
        <v>0</v>
      </c>
      <c r="Y334" s="677">
        <f t="shared" si="199"/>
        <v>0</v>
      </c>
      <c r="Z334" s="678">
        <f t="shared" si="200"/>
        <v>0</v>
      </c>
      <c r="AA334" s="678">
        <f t="shared" si="201"/>
        <v>0</v>
      </c>
      <c r="AB334" s="679">
        <f t="shared" si="202"/>
        <v>0</v>
      </c>
      <c r="AD334" s="521">
        <v>1</v>
      </c>
      <c r="AE334" s="521">
        <f t="shared" si="184"/>
        <v>0</v>
      </c>
      <c r="AF334" s="521">
        <f t="shared" si="188"/>
        <v>0</v>
      </c>
      <c r="AG334" s="521">
        <f t="shared" si="185"/>
        <v>0</v>
      </c>
      <c r="AH334" s="521">
        <f t="shared" si="189"/>
        <v>0</v>
      </c>
      <c r="AI334" s="549">
        <f t="shared" si="186"/>
        <v>0</v>
      </c>
      <c r="AJ334" s="550">
        <f t="shared" si="190"/>
        <v>0</v>
      </c>
      <c r="AK334" s="550">
        <f t="shared" si="187"/>
        <v>0</v>
      </c>
      <c r="AL334" s="550">
        <f t="shared" si="191"/>
        <v>0</v>
      </c>
    </row>
    <row r="335" spans="1:38" ht="15.75" customHeight="1" thickBot="1" x14ac:dyDescent="0.25">
      <c r="A335" s="1903" t="s">
        <v>643</v>
      </c>
      <c r="B335" s="1904"/>
      <c r="C335" s="1904"/>
      <c r="D335" s="1904"/>
      <c r="E335" s="1541"/>
      <c r="F335" s="1247">
        <f>SUM(F305:F334)</f>
        <v>0</v>
      </c>
      <c r="G335" s="4"/>
      <c r="H335" s="4"/>
      <c r="I335" s="4"/>
      <c r="J335" s="4"/>
      <c r="K335" s="4"/>
      <c r="L335" s="4"/>
      <c r="M335" s="4"/>
      <c r="N335" s="4"/>
      <c r="AI335" s="549"/>
      <c r="AJ335" s="550"/>
      <c r="AK335" s="550"/>
      <c r="AL335" s="550"/>
    </row>
    <row r="336" spans="1:38" ht="13.5" thickBot="1" x14ac:dyDescent="0.25">
      <c r="A336" s="4"/>
      <c r="B336" s="4"/>
      <c r="C336" s="4"/>
      <c r="D336" s="4"/>
      <c r="E336" s="4"/>
      <c r="F336" s="4"/>
      <c r="G336" s="4"/>
      <c r="H336" s="4"/>
      <c r="I336" s="4"/>
      <c r="J336" s="4"/>
      <c r="K336" s="4"/>
      <c r="L336" s="4"/>
      <c r="M336" s="4"/>
      <c r="N336" s="4"/>
      <c r="P336" s="650" t="s">
        <v>643</v>
      </c>
      <c r="R336" s="1084">
        <f>SUM(R305:R335)</f>
        <v>0</v>
      </c>
      <c r="S336" s="1084">
        <f>SUM(S305:S335)</f>
        <v>0</v>
      </c>
      <c r="T336" s="1084">
        <f>SUM(T305:T335)</f>
        <v>0</v>
      </c>
      <c r="U336" s="1084">
        <f>SUM(U305:U335)</f>
        <v>0</v>
      </c>
      <c r="V336" s="1084">
        <f>SUM(V305:V335)</f>
        <v>0</v>
      </c>
      <c r="X336" s="1084">
        <f>SUM(X305:X335)</f>
        <v>0</v>
      </c>
      <c r="Y336" s="1084">
        <f>SUM(Y305:Y335)</f>
        <v>0</v>
      </c>
      <c r="Z336" s="1256">
        <f>SUM(Z305:Z335)</f>
        <v>0</v>
      </c>
      <c r="AA336" s="1084">
        <f>SUM(AA305:AA335)</f>
        <v>0</v>
      </c>
      <c r="AB336" s="1084">
        <f>SUM(AB305:AB335)</f>
        <v>0</v>
      </c>
      <c r="AE336" s="1564">
        <f>SUM(AE305:AE335)</f>
        <v>0</v>
      </c>
      <c r="AG336" s="1564">
        <f>SUM(AG305:AG335)</f>
        <v>0</v>
      </c>
      <c r="AI336" s="1578">
        <f>SUM(AI305:AI335)</f>
        <v>0</v>
      </c>
      <c r="AJ336" s="550"/>
      <c r="AK336" s="1579">
        <f>SUM(AK305:AK335)</f>
        <v>0</v>
      </c>
      <c r="AL336" s="550"/>
    </row>
    <row r="337" spans="1:81" ht="20.25" thickTop="1" thickBot="1" x14ac:dyDescent="0.25">
      <c r="A337" s="1526" t="s">
        <v>1049</v>
      </c>
      <c r="B337" s="1544"/>
      <c r="C337" s="1544"/>
      <c r="D337" s="1544"/>
      <c r="E337" s="1544"/>
      <c r="F337" s="1544"/>
      <c r="G337" s="1544"/>
      <c r="H337" s="1544"/>
      <c r="I337" s="1545"/>
      <c r="J337" s="1877" t="s">
        <v>4</v>
      </c>
      <c r="K337" s="1883"/>
      <c r="L337" s="1877" t="s">
        <v>1044</v>
      </c>
      <c r="M337" s="1878"/>
      <c r="N337" s="4"/>
    </row>
    <row r="338" spans="1:81" ht="13.5" thickBot="1" x14ac:dyDescent="0.25">
      <c r="A338" s="1530" t="s">
        <v>551</v>
      </c>
      <c r="B338" s="1388"/>
      <c r="C338" s="1388"/>
      <c r="D338" s="1388"/>
      <c r="E338" s="1388"/>
      <c r="F338" s="1388"/>
      <c r="G338" s="1388"/>
      <c r="H338" s="1388"/>
      <c r="I338" s="1389"/>
      <c r="J338" s="2029">
        <f>+J57</f>
        <v>0</v>
      </c>
      <c r="K338" s="2030"/>
      <c r="L338" s="1879">
        <f>+L57</f>
        <v>0</v>
      </c>
      <c r="M338" s="1880"/>
      <c r="N338" s="4"/>
    </row>
    <row r="339" spans="1:81" x14ac:dyDescent="0.2">
      <c r="A339" s="1529" t="s">
        <v>1020</v>
      </c>
      <c r="B339" s="23"/>
      <c r="C339" s="23"/>
      <c r="D339" s="23"/>
      <c r="E339" s="23"/>
      <c r="F339" s="23"/>
      <c r="G339" s="23"/>
      <c r="H339" s="23"/>
      <c r="I339" s="321"/>
      <c r="J339" s="1845">
        <f>+R46*1000</f>
        <v>0</v>
      </c>
      <c r="K339" s="1846"/>
      <c r="L339" s="1869">
        <f>+S46*1000</f>
        <v>0</v>
      </c>
      <c r="M339" s="1870"/>
      <c r="N339" s="4"/>
    </row>
    <row r="340" spans="1:81" ht="13.5" thickBot="1" x14ac:dyDescent="0.25">
      <c r="A340" s="1529" t="s">
        <v>1021</v>
      </c>
      <c r="B340" s="23"/>
      <c r="C340" s="23"/>
      <c r="D340" s="23"/>
      <c r="E340" s="23"/>
      <c r="F340" s="23"/>
      <c r="G340" s="23"/>
      <c r="H340" s="23"/>
      <c r="I340" s="321"/>
      <c r="J340" s="1845">
        <f>IF(J338&lt;J339,0,J338-J339)</f>
        <v>0</v>
      </c>
      <c r="K340" s="1846"/>
      <c r="L340" s="1869">
        <f>IF(L338&lt;L339,0,L338-L339)</f>
        <v>0</v>
      </c>
      <c r="M340" s="1870"/>
      <c r="N340" s="4"/>
    </row>
    <row r="341" spans="1:81" ht="18" customHeight="1" thickBot="1" x14ac:dyDescent="0.25">
      <c r="A341" s="1533" t="s">
        <v>1050</v>
      </c>
      <c r="B341" s="1534"/>
      <c r="C341" s="1534"/>
      <c r="D341" s="1534"/>
      <c r="E341" s="1535"/>
      <c r="F341" s="1535"/>
      <c r="G341" s="1535"/>
      <c r="H341" s="1535"/>
      <c r="I341" s="1535"/>
      <c r="J341" s="2208" t="str">
        <f>+J58</f>
        <v>nein</v>
      </c>
      <c r="K341" s="2209"/>
      <c r="L341" s="2210" t="str">
        <f>+L58</f>
        <v>nein</v>
      </c>
      <c r="M341" s="2211"/>
      <c r="N341" s="4"/>
    </row>
    <row r="342" spans="1:81" ht="12" customHeight="1" thickTop="1" x14ac:dyDescent="0.2">
      <c r="A342" s="401"/>
      <c r="B342" s="401"/>
      <c r="C342" s="401"/>
      <c r="D342" s="401"/>
      <c r="E342" s="341"/>
      <c r="F342" s="341"/>
      <c r="G342" s="341"/>
      <c r="H342" s="341"/>
      <c r="I342" s="341"/>
      <c r="J342" s="586"/>
      <c r="K342" s="586"/>
      <c r="L342" s="586"/>
      <c r="M342" s="586"/>
      <c r="N342" s="4"/>
    </row>
    <row r="343" spans="1:81" ht="15.75" x14ac:dyDescent="0.2">
      <c r="A343" s="1833" t="s">
        <v>1045</v>
      </c>
      <c r="B343" s="1833"/>
      <c r="C343" s="1833"/>
      <c r="D343" s="1833"/>
      <c r="E343" s="1833"/>
      <c r="F343" s="1833"/>
      <c r="G343" s="1833"/>
      <c r="H343" s="1833"/>
      <c r="I343" s="1833"/>
      <c r="J343" s="1833"/>
      <c r="K343" s="1833"/>
      <c r="L343" s="1833"/>
      <c r="M343" s="1106"/>
      <c r="N343" s="4"/>
    </row>
    <row r="344" spans="1:81" ht="6.75" customHeight="1" thickBot="1" x14ac:dyDescent="0.25">
      <c r="A344" s="401"/>
      <c r="B344" s="401"/>
      <c r="C344" s="401"/>
      <c r="D344" s="401"/>
      <c r="E344" s="341"/>
      <c r="F344" s="341"/>
      <c r="G344" s="341"/>
      <c r="H344" s="341"/>
      <c r="I344" s="341"/>
      <c r="J344" s="586"/>
      <c r="K344" s="586"/>
      <c r="L344" s="586"/>
      <c r="M344" s="586"/>
      <c r="N344" s="4"/>
    </row>
    <row r="345" spans="1:81" x14ac:dyDescent="0.2">
      <c r="A345" s="2290" t="s">
        <v>1254</v>
      </c>
      <c r="B345" s="2291"/>
      <c r="C345" s="2291"/>
      <c r="D345" s="2291"/>
      <c r="E345" s="2291"/>
      <c r="F345" s="2291"/>
      <c r="G345" s="2291"/>
      <c r="H345" s="2291"/>
      <c r="I345" s="2291"/>
      <c r="J345" s="1834" t="s">
        <v>997</v>
      </c>
      <c r="K345" s="1835"/>
      <c r="L345" s="2301" t="s">
        <v>520</v>
      </c>
      <c r="M345" s="2302"/>
      <c r="N345" s="4"/>
    </row>
    <row r="346" spans="1:81" x14ac:dyDescent="0.2">
      <c r="A346" s="2292"/>
      <c r="B346" s="2293"/>
      <c r="C346" s="2293"/>
      <c r="D346" s="2293"/>
      <c r="E346" s="2293"/>
      <c r="F346" s="2293"/>
      <c r="G346" s="2293"/>
      <c r="H346" s="2293"/>
      <c r="I346" s="2293"/>
      <c r="J346" s="2307" t="s">
        <v>998</v>
      </c>
      <c r="K346" s="2308"/>
      <c r="L346" s="2303" t="s">
        <v>998</v>
      </c>
      <c r="M346" s="2304"/>
      <c r="N346" s="4"/>
    </row>
    <row r="347" spans="1:81" ht="15.75" customHeight="1" x14ac:dyDescent="0.2">
      <c r="A347" s="2294" t="s">
        <v>1001</v>
      </c>
      <c r="B347" s="2295"/>
      <c r="C347" s="2295"/>
      <c r="D347" s="2295"/>
      <c r="E347" s="2295"/>
      <c r="F347" s="2295"/>
      <c r="G347" s="2295"/>
      <c r="H347" s="2295"/>
      <c r="I347" s="2295"/>
      <c r="J347" s="2008">
        <f>+P7</f>
        <v>0</v>
      </c>
      <c r="K347" s="2285"/>
      <c r="L347" s="2305">
        <f>+J347*G351</f>
        <v>0</v>
      </c>
      <c r="M347" s="2306"/>
      <c r="N347" s="4"/>
    </row>
    <row r="348" spans="1:81" s="633" customFormat="1" ht="13.5" customHeight="1" x14ac:dyDescent="0.2">
      <c r="A348" s="2299" t="s">
        <v>999</v>
      </c>
      <c r="B348" s="2300"/>
      <c r="C348" s="2300"/>
      <c r="D348" s="2300"/>
      <c r="E348" s="2300"/>
      <c r="F348" s="2300"/>
      <c r="G348" s="2300"/>
      <c r="H348" s="2300"/>
      <c r="I348" s="2300"/>
      <c r="J348" s="2286">
        <v>170</v>
      </c>
      <c r="K348" s="2287"/>
      <c r="L348" s="1831">
        <f>+J348*G351</f>
        <v>0</v>
      </c>
      <c r="M348" s="1832"/>
      <c r="N348" s="441"/>
      <c r="P348" s="650"/>
      <c r="Q348" s="650"/>
      <c r="R348" s="650"/>
      <c r="S348" s="650"/>
      <c r="T348" s="650"/>
      <c r="U348" s="650"/>
      <c r="V348" s="650"/>
      <c r="W348" s="650"/>
      <c r="X348" s="650"/>
      <c r="Y348" s="650"/>
      <c r="Z348" s="650"/>
      <c r="AA348" s="650"/>
      <c r="AB348" s="650"/>
      <c r="AC348" s="650"/>
      <c r="AD348" s="650"/>
      <c r="AE348" s="650"/>
      <c r="AF348" s="650"/>
      <c r="AG348" s="650"/>
      <c r="AH348" s="650"/>
      <c r="AI348" s="650"/>
      <c r="AJ348" s="650"/>
      <c r="AK348" s="650"/>
      <c r="AL348" s="650"/>
      <c r="AM348" s="650"/>
      <c r="AN348" s="650"/>
      <c r="AO348" s="650"/>
      <c r="AP348" s="650"/>
      <c r="AQ348" s="650"/>
      <c r="AR348" s="650"/>
      <c r="AS348" s="650"/>
      <c r="AT348" s="650"/>
      <c r="AU348" s="650"/>
      <c r="AV348" s="650"/>
      <c r="AW348" s="650"/>
      <c r="AX348" s="650"/>
      <c r="AY348" s="650"/>
      <c r="AZ348" s="650"/>
      <c r="BA348" s="650"/>
      <c r="BB348" s="650"/>
      <c r="BC348" s="650"/>
      <c r="BD348" s="650"/>
      <c r="BE348" s="650"/>
      <c r="BF348" s="650"/>
      <c r="BG348" s="650"/>
      <c r="BH348" s="650"/>
      <c r="BI348" s="650"/>
      <c r="BJ348" s="650"/>
      <c r="BK348" s="650"/>
      <c r="BL348" s="650"/>
      <c r="BM348" s="650"/>
      <c r="BN348" s="650"/>
      <c r="BO348" s="650"/>
      <c r="BP348" s="650"/>
      <c r="BQ348" s="650"/>
      <c r="BR348" s="650"/>
      <c r="BS348" s="650"/>
      <c r="BT348" s="1267"/>
      <c r="BU348" s="1267"/>
      <c r="BV348" s="1267"/>
      <c r="BW348" s="1267"/>
      <c r="BX348" s="650"/>
      <c r="BY348" s="650"/>
      <c r="BZ348" s="650"/>
      <c r="CA348" s="650"/>
      <c r="CB348" s="650"/>
      <c r="CC348" s="650"/>
    </row>
    <row r="349" spans="1:81" s="633" customFormat="1" ht="13.5" customHeight="1" x14ac:dyDescent="0.2">
      <c r="A349" s="1542" t="s">
        <v>1022</v>
      </c>
      <c r="B349" s="1543"/>
      <c r="C349" s="1543"/>
      <c r="D349" s="1543"/>
      <c r="E349" s="1543"/>
      <c r="F349" s="1543"/>
      <c r="G349" s="1543"/>
      <c r="H349" s="1543"/>
      <c r="I349" s="1543"/>
      <c r="J349" s="1827">
        <f>IF(J348&gt;J347,0,J347-J348)</f>
        <v>0</v>
      </c>
      <c r="K349" s="1828"/>
      <c r="L349" s="1829">
        <f>IF(L348&gt;L347,0,L347-L348)</f>
        <v>0</v>
      </c>
      <c r="M349" s="1830"/>
      <c r="N349" s="441"/>
      <c r="P349" s="650"/>
      <c r="Q349" s="650"/>
      <c r="R349" s="650"/>
      <c r="S349" s="650"/>
      <c r="T349" s="650"/>
      <c r="U349" s="650"/>
      <c r="V349" s="650"/>
      <c r="W349" s="650"/>
      <c r="X349" s="650"/>
      <c r="Y349" s="650"/>
      <c r="Z349" s="650"/>
      <c r="AA349" s="650"/>
      <c r="AB349" s="650"/>
      <c r="AC349" s="650"/>
      <c r="AD349" s="650"/>
      <c r="AE349" s="650"/>
      <c r="AF349" s="650"/>
      <c r="AG349" s="650"/>
      <c r="AH349" s="650"/>
      <c r="AI349" s="650"/>
      <c r="AJ349" s="650"/>
      <c r="AK349" s="650"/>
      <c r="AL349" s="650"/>
      <c r="AM349" s="650"/>
      <c r="AN349" s="650"/>
      <c r="AO349" s="650"/>
      <c r="AP349" s="650"/>
      <c r="AQ349" s="650"/>
      <c r="AR349" s="650"/>
      <c r="AS349" s="650"/>
      <c r="AT349" s="650"/>
      <c r="AU349" s="650"/>
      <c r="AV349" s="650"/>
      <c r="AW349" s="650"/>
      <c r="AX349" s="650"/>
      <c r="AY349" s="650"/>
      <c r="AZ349" s="650"/>
      <c r="BA349" s="650"/>
      <c r="BB349" s="650"/>
      <c r="BC349" s="650"/>
      <c r="BD349" s="650"/>
      <c r="BE349" s="650"/>
      <c r="BF349" s="650"/>
      <c r="BG349" s="650"/>
      <c r="BH349" s="650"/>
      <c r="BI349" s="650"/>
      <c r="BJ349" s="650"/>
      <c r="BK349" s="650"/>
      <c r="BL349" s="650"/>
      <c r="BM349" s="650"/>
      <c r="BN349" s="650"/>
      <c r="BO349" s="650"/>
      <c r="BP349" s="650"/>
      <c r="BQ349" s="650"/>
      <c r="BR349" s="650"/>
      <c r="BS349" s="650"/>
      <c r="BT349" s="1267"/>
      <c r="BU349" s="1267"/>
      <c r="BV349" s="1267"/>
      <c r="BW349" s="1267"/>
      <c r="BX349" s="650"/>
      <c r="BY349" s="650"/>
      <c r="BZ349" s="650"/>
      <c r="CA349" s="650"/>
      <c r="CB349" s="650"/>
      <c r="CC349" s="650"/>
    </row>
    <row r="350" spans="1:81" ht="18.75" thickBot="1" x14ac:dyDescent="0.3">
      <c r="A350" s="2278" t="s">
        <v>1046</v>
      </c>
      <c r="B350" s="2279"/>
      <c r="C350" s="2279"/>
      <c r="D350" s="2279"/>
      <c r="E350" s="2279"/>
      <c r="F350" s="2279"/>
      <c r="G350" s="2279"/>
      <c r="H350" s="2279"/>
      <c r="I350" s="2279"/>
      <c r="J350" s="2282" t="str">
        <f>IF(J347&gt;170,"nein","ja")</f>
        <v>ja</v>
      </c>
      <c r="K350" s="2283"/>
      <c r="L350" s="2283"/>
      <c r="M350" s="2284"/>
      <c r="N350" s="4"/>
    </row>
    <row r="351" spans="1:81" ht="10.5" customHeight="1" x14ac:dyDescent="0.2">
      <c r="A351" s="1248" t="s">
        <v>1264</v>
      </c>
      <c r="B351" s="1205"/>
      <c r="C351" s="1205"/>
      <c r="D351" s="1205"/>
      <c r="E351" s="1205"/>
      <c r="F351" s="1205"/>
      <c r="G351" s="1180">
        <f>+P6</f>
        <v>0</v>
      </c>
      <c r="H351" s="1248" t="s">
        <v>1000</v>
      </c>
      <c r="I351" s="341"/>
      <c r="J351" s="586"/>
      <c r="K351" s="586"/>
      <c r="L351" s="586"/>
      <c r="N351" s="4"/>
      <c r="P351" s="1332">
        <f>IF(J349&lt;1,0,L349)</f>
        <v>0</v>
      </c>
      <c r="Q351" s="521" t="s">
        <v>1115</v>
      </c>
    </row>
    <row r="352" spans="1:81" ht="10.5" customHeight="1" x14ac:dyDescent="0.2">
      <c r="A352" s="1570" t="str">
        <f>IF(P353=0," ",P353)</f>
        <v xml:space="preserve"> </v>
      </c>
      <c r="P352" s="521">
        <f>IF(J339&gt;J338,J339-J338,0)</f>
        <v>0</v>
      </c>
      <c r="Q352" s="521" t="s">
        <v>1116</v>
      </c>
    </row>
    <row r="353" spans="16:17" x14ac:dyDescent="0.2">
      <c r="P353" s="521">
        <f>IF(P352&gt;P351," ",P351-P352)</f>
        <v>0</v>
      </c>
      <c r="Q353" s="521" t="s">
        <v>1117</v>
      </c>
    </row>
  </sheetData>
  <sheetProtection password="9758" sheet="1" objects="1" scenarios="1"/>
  <dataConsolidate/>
  <customSheetViews>
    <customSheetView guid="{DDA6E6AA-9473-49A0-A3A2-76E4959B79AF}" printArea="1" hiddenColumns="1">
      <selection activeCell="CB7" sqref="CB7"/>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customSheetView>
  </customSheetViews>
  <mergeCells count="577">
    <mergeCell ref="S285:T285"/>
    <mergeCell ref="K313:L313"/>
    <mergeCell ref="H313:I313"/>
    <mergeCell ref="K315:L315"/>
    <mergeCell ref="H306:I306"/>
    <mergeCell ref="A320:C320"/>
    <mergeCell ref="J304:M304"/>
    <mergeCell ref="H316:I316"/>
    <mergeCell ref="K316:L316"/>
    <mergeCell ref="D303:D304"/>
    <mergeCell ref="A307:C307"/>
    <mergeCell ref="A308:C308"/>
    <mergeCell ref="A309:C309"/>
    <mergeCell ref="AK302:AL302"/>
    <mergeCell ref="S287:T287"/>
    <mergeCell ref="A313:C313"/>
    <mergeCell ref="AI302:AJ302"/>
    <mergeCell ref="H308:I308"/>
    <mergeCell ref="K309:L309"/>
    <mergeCell ref="H309:I309"/>
    <mergeCell ref="K306:L306"/>
    <mergeCell ref="J287:K287"/>
    <mergeCell ref="H305:I305"/>
    <mergeCell ref="A301:L301"/>
    <mergeCell ref="A310:C310"/>
    <mergeCell ref="A334:C334"/>
    <mergeCell ref="A305:C305"/>
    <mergeCell ref="A315:C315"/>
    <mergeCell ref="A316:C316"/>
    <mergeCell ref="A317:C317"/>
    <mergeCell ref="A290:I290"/>
    <mergeCell ref="A319:C319"/>
    <mergeCell ref="A311:C311"/>
    <mergeCell ref="A314:C314"/>
    <mergeCell ref="A306:C306"/>
    <mergeCell ref="A312:C312"/>
    <mergeCell ref="A318:C318"/>
    <mergeCell ref="H315:I315"/>
    <mergeCell ref="A333:C333"/>
    <mergeCell ref="A256:B256"/>
    <mergeCell ref="J266:K266"/>
    <mergeCell ref="H254:I254"/>
    <mergeCell ref="H255:I255"/>
    <mergeCell ref="F255:G255"/>
    <mergeCell ref="F258:G258"/>
    <mergeCell ref="C261:C262"/>
    <mergeCell ref="D263:E263"/>
    <mergeCell ref="D255:E255"/>
    <mergeCell ref="D257:E257"/>
    <mergeCell ref="D261:E261"/>
    <mergeCell ref="A258:B258"/>
    <mergeCell ref="A259:B259"/>
    <mergeCell ref="D258:E258"/>
    <mergeCell ref="H266:I266"/>
    <mergeCell ref="J259:K259"/>
    <mergeCell ref="H258:I258"/>
    <mergeCell ref="A266:B266"/>
    <mergeCell ref="D265:E265"/>
    <mergeCell ref="H265:I265"/>
    <mergeCell ref="L271:M271"/>
    <mergeCell ref="L268:M268"/>
    <mergeCell ref="J260:K260"/>
    <mergeCell ref="L270:M270"/>
    <mergeCell ref="J265:K265"/>
    <mergeCell ref="J267:K267"/>
    <mergeCell ref="J268:K268"/>
    <mergeCell ref="J262:K262"/>
    <mergeCell ref="L267:M267"/>
    <mergeCell ref="J271:K271"/>
    <mergeCell ref="J269:K269"/>
    <mergeCell ref="BI110:BJ110"/>
    <mergeCell ref="K90:L90"/>
    <mergeCell ref="AS66:AU66"/>
    <mergeCell ref="K72:L72"/>
    <mergeCell ref="K98:L98"/>
    <mergeCell ref="K99:L99"/>
    <mergeCell ref="K94:L94"/>
    <mergeCell ref="AL66:AN66"/>
    <mergeCell ref="D264:E264"/>
    <mergeCell ref="H264:I264"/>
    <mergeCell ref="H262:I262"/>
    <mergeCell ref="EA62:EB62"/>
    <mergeCell ref="DL62:DQ62"/>
    <mergeCell ref="DL67:DN67"/>
    <mergeCell ref="DO67:DQ67"/>
    <mergeCell ref="Z65:AA65"/>
    <mergeCell ref="CH64:CI64"/>
    <mergeCell ref="BV66:BX66"/>
    <mergeCell ref="BQ65:BS65"/>
    <mergeCell ref="AV66:AX66"/>
    <mergeCell ref="CE66:CG66"/>
    <mergeCell ref="BY66:BZ66"/>
    <mergeCell ref="CR66:CS66"/>
    <mergeCell ref="A350:I350"/>
    <mergeCell ref="L274:M274"/>
    <mergeCell ref="J350:M350"/>
    <mergeCell ref="J347:K347"/>
    <mergeCell ref="J348:K348"/>
    <mergeCell ref="L261:M261"/>
    <mergeCell ref="L272:M272"/>
    <mergeCell ref="A345:I346"/>
    <mergeCell ref="A347:I347"/>
    <mergeCell ref="D262:E262"/>
    <mergeCell ref="A348:I348"/>
    <mergeCell ref="J273:K273"/>
    <mergeCell ref="L345:M345"/>
    <mergeCell ref="L346:M346"/>
    <mergeCell ref="L347:M347"/>
    <mergeCell ref="J346:K346"/>
    <mergeCell ref="H307:I307"/>
    <mergeCell ref="L281:M281"/>
    <mergeCell ref="J281:K281"/>
    <mergeCell ref="H312:I312"/>
    <mergeCell ref="B268:I268"/>
    <mergeCell ref="D266:E266"/>
    <mergeCell ref="A265:B265"/>
    <mergeCell ref="A263:B263"/>
    <mergeCell ref="DY62:DZ62"/>
    <mergeCell ref="CB66:CD66"/>
    <mergeCell ref="F93:G93"/>
    <mergeCell ref="K73:L73"/>
    <mergeCell ref="H99:I99"/>
    <mergeCell ref="A75:D75"/>
    <mergeCell ref="A81:D81"/>
    <mergeCell ref="A78:D78"/>
    <mergeCell ref="A85:D85"/>
    <mergeCell ref="DH66:DI66"/>
    <mergeCell ref="D256:E256"/>
    <mergeCell ref="H256:I256"/>
    <mergeCell ref="J235:K235"/>
    <mergeCell ref="J236:K236"/>
    <mergeCell ref="L235:M235"/>
    <mergeCell ref="H90:I90"/>
    <mergeCell ref="K79:L79"/>
    <mergeCell ref="K71:L71"/>
    <mergeCell ref="K69:L69"/>
    <mergeCell ref="K88:L88"/>
    <mergeCell ref="H175:J175"/>
    <mergeCell ref="L234:M234"/>
    <mergeCell ref="J233:K233"/>
    <mergeCell ref="A264:B264"/>
    <mergeCell ref="C252:C253"/>
    <mergeCell ref="A254:B254"/>
    <mergeCell ref="A255:B255"/>
    <mergeCell ref="L263:M263"/>
    <mergeCell ref="L264:M264"/>
    <mergeCell ref="J136:M136"/>
    <mergeCell ref="C110:C112"/>
    <mergeCell ref="A190:G190"/>
    <mergeCell ref="A257:B257"/>
    <mergeCell ref="J264:K264"/>
    <mergeCell ref="J263:K263"/>
    <mergeCell ref="H180:J180"/>
    <mergeCell ref="E203:H203"/>
    <mergeCell ref="D259:E259"/>
    <mergeCell ref="J257:K257"/>
    <mergeCell ref="J254:K254"/>
    <mergeCell ref="F260:G260"/>
    <mergeCell ref="A260:B260"/>
    <mergeCell ref="A189:G189"/>
    <mergeCell ref="I205:L205"/>
    <mergeCell ref="A168:G168"/>
    <mergeCell ref="J255:K255"/>
    <mergeCell ref="J256:K256"/>
    <mergeCell ref="J341:K341"/>
    <mergeCell ref="L341:M341"/>
    <mergeCell ref="J290:K290"/>
    <mergeCell ref="J291:K291"/>
    <mergeCell ref="H322:I322"/>
    <mergeCell ref="K322:L322"/>
    <mergeCell ref="H317:I317"/>
    <mergeCell ref="K317:L317"/>
    <mergeCell ref="B269:I269"/>
    <mergeCell ref="B270:I270"/>
    <mergeCell ref="J272:K272"/>
    <mergeCell ref="J285:K285"/>
    <mergeCell ref="L280:M280"/>
    <mergeCell ref="J277:K277"/>
    <mergeCell ref="J276:K276"/>
    <mergeCell ref="B278:I278"/>
    <mergeCell ref="L276:M276"/>
    <mergeCell ref="L275:M275"/>
    <mergeCell ref="J270:K270"/>
    <mergeCell ref="B276:I276"/>
    <mergeCell ref="B274:I274"/>
    <mergeCell ref="B271:I271"/>
    <mergeCell ref="J338:K338"/>
    <mergeCell ref="J288:K288"/>
    <mergeCell ref="J275:K275"/>
    <mergeCell ref="L269:M269"/>
    <mergeCell ref="L286:M286"/>
    <mergeCell ref="H304:I304"/>
    <mergeCell ref="H303:I303"/>
    <mergeCell ref="L277:M277"/>
    <mergeCell ref="J280:K280"/>
    <mergeCell ref="L278:M278"/>
    <mergeCell ref="B277:I277"/>
    <mergeCell ref="L290:M290"/>
    <mergeCell ref="L291:M291"/>
    <mergeCell ref="J278:K278"/>
    <mergeCell ref="L287:M287"/>
    <mergeCell ref="J289:K289"/>
    <mergeCell ref="K303:L303"/>
    <mergeCell ref="A295:M295"/>
    <mergeCell ref="L273:M273"/>
    <mergeCell ref="Q252:R252"/>
    <mergeCell ref="H261:I261"/>
    <mergeCell ref="H260:I260"/>
    <mergeCell ref="F252:G252"/>
    <mergeCell ref="F253:G253"/>
    <mergeCell ref="F254:G254"/>
    <mergeCell ref="J261:K261"/>
    <mergeCell ref="J258:K258"/>
    <mergeCell ref="G33:M33"/>
    <mergeCell ref="L35:M35"/>
    <mergeCell ref="J34:K34"/>
    <mergeCell ref="J35:K35"/>
    <mergeCell ref="L34:M34"/>
    <mergeCell ref="J38:K38"/>
    <mergeCell ref="L38:M38"/>
    <mergeCell ref="J39:K39"/>
    <mergeCell ref="K113:L113"/>
    <mergeCell ref="A54:I54"/>
    <mergeCell ref="L236:M236"/>
    <mergeCell ref="J252:M252"/>
    <mergeCell ref="A250:M250"/>
    <mergeCell ref="H259:I259"/>
    <mergeCell ref="L257:M257"/>
    <mergeCell ref="A248:L248"/>
    <mergeCell ref="K137:L137"/>
    <mergeCell ref="K146:L146"/>
    <mergeCell ref="K147:L147"/>
    <mergeCell ref="H176:J176"/>
    <mergeCell ref="H257:I257"/>
    <mergeCell ref="L226:M226"/>
    <mergeCell ref="J165:K165"/>
    <mergeCell ref="A82:I82"/>
    <mergeCell ref="A80:D80"/>
    <mergeCell ref="A87:D87"/>
    <mergeCell ref="D254:E254"/>
    <mergeCell ref="D252:E252"/>
    <mergeCell ref="F256:G256"/>
    <mergeCell ref="F91:I91"/>
    <mergeCell ref="K150:L150"/>
    <mergeCell ref="L164:M164"/>
    <mergeCell ref="K134:L134"/>
    <mergeCell ref="J135:M135"/>
    <mergeCell ref="H253:I253"/>
    <mergeCell ref="L227:M227"/>
    <mergeCell ref="K145:L145"/>
    <mergeCell ref="J163:K163"/>
    <mergeCell ref="K124:L124"/>
    <mergeCell ref="B203:C203"/>
    <mergeCell ref="A141:B141"/>
    <mergeCell ref="A167:G167"/>
    <mergeCell ref="A154:B154"/>
    <mergeCell ref="A171:L171"/>
    <mergeCell ref="L169:M169"/>
    <mergeCell ref="K139:L139"/>
    <mergeCell ref="A143:B143"/>
    <mergeCell ref="J164:K164"/>
    <mergeCell ref="K155:L155"/>
    <mergeCell ref="A164:G164"/>
    <mergeCell ref="L163:M163"/>
    <mergeCell ref="K142:L142"/>
    <mergeCell ref="A142:B142"/>
    <mergeCell ref="A138:B138"/>
    <mergeCell ref="A165:G165"/>
    <mergeCell ref="K148:L148"/>
    <mergeCell ref="A149:B149"/>
    <mergeCell ref="L165:M165"/>
    <mergeCell ref="K151:L151"/>
    <mergeCell ref="A74:D74"/>
    <mergeCell ref="A86:D86"/>
    <mergeCell ref="A140:B140"/>
    <mergeCell ref="F90:G90"/>
    <mergeCell ref="A77:D77"/>
    <mergeCell ref="K149:L149"/>
    <mergeCell ref="A84:D84"/>
    <mergeCell ref="C134:C136"/>
    <mergeCell ref="F97:G97"/>
    <mergeCell ref="F96:G96"/>
    <mergeCell ref="K138:L138"/>
    <mergeCell ref="A139:B139"/>
    <mergeCell ref="K125:L125"/>
    <mergeCell ref="K129:L129"/>
    <mergeCell ref="A144:B144"/>
    <mergeCell ref="K130:L130"/>
    <mergeCell ref="K152:L152"/>
    <mergeCell ref="A1:I1"/>
    <mergeCell ref="B7:E7"/>
    <mergeCell ref="H65:I65"/>
    <mergeCell ref="B9:E9"/>
    <mergeCell ref="A2:I2"/>
    <mergeCell ref="B6:E6"/>
    <mergeCell ref="B8:E8"/>
    <mergeCell ref="A3:I3"/>
    <mergeCell ref="H13:M13"/>
    <mergeCell ref="L31:M31"/>
    <mergeCell ref="J31:K31"/>
    <mergeCell ref="F24:F27"/>
    <mergeCell ref="G31:I31"/>
    <mergeCell ref="L32:M32"/>
    <mergeCell ref="A35:E35"/>
    <mergeCell ref="H12:M12"/>
    <mergeCell ref="H95:I95"/>
    <mergeCell ref="A137:B137"/>
    <mergeCell ref="A83:D83"/>
    <mergeCell ref="H93:I93"/>
    <mergeCell ref="A50:I50"/>
    <mergeCell ref="L51:M51"/>
    <mergeCell ref="L52:M52"/>
    <mergeCell ref="J44:K44"/>
    <mergeCell ref="A46:D47"/>
    <mergeCell ref="J47:K47"/>
    <mergeCell ref="L47:M47"/>
    <mergeCell ref="J50:K50"/>
    <mergeCell ref="L50:M50"/>
    <mergeCell ref="A71:D71"/>
    <mergeCell ref="L53:M53"/>
    <mergeCell ref="J51:K51"/>
    <mergeCell ref="K66:L66"/>
    <mergeCell ref="L54:M54"/>
    <mergeCell ref="A64:D67"/>
    <mergeCell ref="K117:L117"/>
    <mergeCell ref="A69:D69"/>
    <mergeCell ref="A73:D73"/>
    <mergeCell ref="F95:G95"/>
    <mergeCell ref="A76:D76"/>
    <mergeCell ref="A79:D79"/>
    <mergeCell ref="J64:L64"/>
    <mergeCell ref="AS65:AX65"/>
    <mergeCell ref="AL65:AQ65"/>
    <mergeCell ref="F65:G65"/>
    <mergeCell ref="K65:L65"/>
    <mergeCell ref="AB65:AE65"/>
    <mergeCell ref="AF65:AI65"/>
    <mergeCell ref="W65:Y65"/>
    <mergeCell ref="A70:D70"/>
    <mergeCell ref="A72:D72"/>
    <mergeCell ref="A68:D68"/>
    <mergeCell ref="K67:L67"/>
    <mergeCell ref="DC62:DG62"/>
    <mergeCell ref="K118:L118"/>
    <mergeCell ref="BH66:BJ66"/>
    <mergeCell ref="AZ66:BB66"/>
    <mergeCell ref="AO66:AQ66"/>
    <mergeCell ref="AB64:AI64"/>
    <mergeCell ref="J36:K36"/>
    <mergeCell ref="J37:K37"/>
    <mergeCell ref="L40:M40"/>
    <mergeCell ref="J41:K41"/>
    <mergeCell ref="L39:M39"/>
    <mergeCell ref="L37:M37"/>
    <mergeCell ref="L41:M41"/>
    <mergeCell ref="J40:K40"/>
    <mergeCell ref="L36:M36"/>
    <mergeCell ref="AZ65:BE65"/>
    <mergeCell ref="L44:M44"/>
    <mergeCell ref="J45:K45"/>
    <mergeCell ref="L46:M46"/>
    <mergeCell ref="J46:K46"/>
    <mergeCell ref="J57:K57"/>
    <mergeCell ref="J58:K58"/>
    <mergeCell ref="L56:M56"/>
    <mergeCell ref="L57:M57"/>
    <mergeCell ref="DU62:DX62"/>
    <mergeCell ref="H186:J186"/>
    <mergeCell ref="H187:J187"/>
    <mergeCell ref="L170:M170"/>
    <mergeCell ref="H177:J177"/>
    <mergeCell ref="H178:J178"/>
    <mergeCell ref="H179:J179"/>
    <mergeCell ref="K116:L116"/>
    <mergeCell ref="K122:L122"/>
    <mergeCell ref="K123:L123"/>
    <mergeCell ref="DH65:DI65"/>
    <mergeCell ref="DW64:DX64"/>
    <mergeCell ref="AS89:AX89"/>
    <mergeCell ref="J112:M112"/>
    <mergeCell ref="L167:M167"/>
    <mergeCell ref="K92:L92"/>
    <mergeCell ref="J91:M91"/>
    <mergeCell ref="K140:L140"/>
    <mergeCell ref="K141:L141"/>
    <mergeCell ref="J111:M111"/>
    <mergeCell ref="BC66:BE66"/>
    <mergeCell ref="U64:X64"/>
    <mergeCell ref="U65:V65"/>
    <mergeCell ref="K119:L119"/>
    <mergeCell ref="H92:I92"/>
    <mergeCell ref="CW62:DB62"/>
    <mergeCell ref="CZ64:DB64"/>
    <mergeCell ref="CW64:CY64"/>
    <mergeCell ref="K114:L114"/>
    <mergeCell ref="K115:L115"/>
    <mergeCell ref="K128:L128"/>
    <mergeCell ref="K126:L126"/>
    <mergeCell ref="AL89:AQ89"/>
    <mergeCell ref="AL91:AQ91"/>
    <mergeCell ref="K96:L96"/>
    <mergeCell ref="K120:L120"/>
    <mergeCell ref="K127:L127"/>
    <mergeCell ref="K85:L85"/>
    <mergeCell ref="K82:L82"/>
    <mergeCell ref="K78:L78"/>
    <mergeCell ref="K121:L121"/>
    <mergeCell ref="E64:I64"/>
    <mergeCell ref="F99:G99"/>
    <mergeCell ref="F92:G92"/>
    <mergeCell ref="H96:I96"/>
    <mergeCell ref="H97:I97"/>
    <mergeCell ref="K95:L95"/>
    <mergeCell ref="H98:I98"/>
    <mergeCell ref="A40:E40"/>
    <mergeCell ref="A42:E42"/>
    <mergeCell ref="J42:K42"/>
    <mergeCell ref="L42:M42"/>
    <mergeCell ref="K70:L70"/>
    <mergeCell ref="A53:I53"/>
    <mergeCell ref="K68:L68"/>
    <mergeCell ref="L45:M45"/>
    <mergeCell ref="A56:I56"/>
    <mergeCell ref="J53:K53"/>
    <mergeCell ref="L58:M58"/>
    <mergeCell ref="J52:K52"/>
    <mergeCell ref="J54:K54"/>
    <mergeCell ref="J56:K56"/>
    <mergeCell ref="T36:T37"/>
    <mergeCell ref="K97:L97"/>
    <mergeCell ref="K86:L86"/>
    <mergeCell ref="K110:L110"/>
    <mergeCell ref="K87:L87"/>
    <mergeCell ref="K84:L84"/>
    <mergeCell ref="K77:L77"/>
    <mergeCell ref="K76:L76"/>
    <mergeCell ref="K75:L75"/>
    <mergeCell ref="K80:L80"/>
    <mergeCell ref="R62:T62"/>
    <mergeCell ref="K81:L81"/>
    <mergeCell ref="K74:L74"/>
    <mergeCell ref="K83:L83"/>
    <mergeCell ref="K93:L93"/>
    <mergeCell ref="A145:B145"/>
    <mergeCell ref="K143:L143"/>
    <mergeCell ref="A146:B146"/>
    <mergeCell ref="A187:G187"/>
    <mergeCell ref="J253:K253"/>
    <mergeCell ref="L253:M253"/>
    <mergeCell ref="J231:K231"/>
    <mergeCell ref="L231:M231"/>
    <mergeCell ref="L232:M232"/>
    <mergeCell ref="J166:K166"/>
    <mergeCell ref="J167:K167"/>
    <mergeCell ref="J168:K168"/>
    <mergeCell ref="A150:B150"/>
    <mergeCell ref="K144:L144"/>
    <mergeCell ref="A155:B155"/>
    <mergeCell ref="A151:B151"/>
    <mergeCell ref="A147:B147"/>
    <mergeCell ref="K153:L153"/>
    <mergeCell ref="K154:L154"/>
    <mergeCell ref="A148:B148"/>
    <mergeCell ref="A152:B152"/>
    <mergeCell ref="L233:M233"/>
    <mergeCell ref="B204:C204"/>
    <mergeCell ref="B202:C202"/>
    <mergeCell ref="A335:D335"/>
    <mergeCell ref="H310:I310"/>
    <mergeCell ref="K310:L310"/>
    <mergeCell ref="H311:I311"/>
    <mergeCell ref="K311:L311"/>
    <mergeCell ref="A188:G188"/>
    <mergeCell ref="B275:I275"/>
    <mergeCell ref="D260:E260"/>
    <mergeCell ref="L255:M255"/>
    <mergeCell ref="F257:G257"/>
    <mergeCell ref="J274:K274"/>
    <mergeCell ref="F259:G259"/>
    <mergeCell ref="L265:M265"/>
    <mergeCell ref="L266:M266"/>
    <mergeCell ref="L258:M258"/>
    <mergeCell ref="L260:M260"/>
    <mergeCell ref="J286:K286"/>
    <mergeCell ref="L285:M285"/>
    <mergeCell ref="J279:K279"/>
    <mergeCell ref="L279:M279"/>
    <mergeCell ref="L254:M254"/>
    <mergeCell ref="L259:M259"/>
    <mergeCell ref="L256:M256"/>
    <mergeCell ref="L262:M262"/>
    <mergeCell ref="A186:G186"/>
    <mergeCell ref="J170:K170"/>
    <mergeCell ref="J169:K169"/>
    <mergeCell ref="H189:J189"/>
    <mergeCell ref="D253:E253"/>
    <mergeCell ref="E227:F227"/>
    <mergeCell ref="J230:M230"/>
    <mergeCell ref="J234:K234"/>
    <mergeCell ref="H252:I252"/>
    <mergeCell ref="A323:C323"/>
    <mergeCell ref="A324:C324"/>
    <mergeCell ref="H321:I321"/>
    <mergeCell ref="K321:L321"/>
    <mergeCell ref="H318:I318"/>
    <mergeCell ref="K318:L318"/>
    <mergeCell ref="K319:L319"/>
    <mergeCell ref="A321:C321"/>
    <mergeCell ref="A322:C322"/>
    <mergeCell ref="H323:I323"/>
    <mergeCell ref="K323:L323"/>
    <mergeCell ref="H319:I319"/>
    <mergeCell ref="A325:C325"/>
    <mergeCell ref="H331:I331"/>
    <mergeCell ref="A332:C332"/>
    <mergeCell ref="A330:C330"/>
    <mergeCell ref="K332:L332"/>
    <mergeCell ref="H327:I327"/>
    <mergeCell ref="K327:L327"/>
    <mergeCell ref="H330:I330"/>
    <mergeCell ref="H324:I324"/>
    <mergeCell ref="K324:L324"/>
    <mergeCell ref="A326:C326"/>
    <mergeCell ref="A329:C329"/>
    <mergeCell ref="A331:C331"/>
    <mergeCell ref="H329:I329"/>
    <mergeCell ref="H328:I328"/>
    <mergeCell ref="H332:I332"/>
    <mergeCell ref="A327:C327"/>
    <mergeCell ref="A328:C328"/>
    <mergeCell ref="K329:L329"/>
    <mergeCell ref="H326:I326"/>
    <mergeCell ref="L338:M338"/>
    <mergeCell ref="H333:I333"/>
    <mergeCell ref="K333:L333"/>
    <mergeCell ref="J337:K337"/>
    <mergeCell ref="K331:L331"/>
    <mergeCell ref="K326:L326"/>
    <mergeCell ref="AG302:AH302"/>
    <mergeCell ref="J339:K339"/>
    <mergeCell ref="L339:M339"/>
    <mergeCell ref="H325:I325"/>
    <mergeCell ref="K325:L325"/>
    <mergeCell ref="H320:I320"/>
    <mergeCell ref="K320:L320"/>
    <mergeCell ref="AE302:AF302"/>
    <mergeCell ref="K328:L328"/>
    <mergeCell ref="H314:I314"/>
    <mergeCell ref="K307:L307"/>
    <mergeCell ref="K308:L308"/>
    <mergeCell ref="K314:L314"/>
    <mergeCell ref="K312:L312"/>
    <mergeCell ref="K305:L305"/>
    <mergeCell ref="J349:K349"/>
    <mergeCell ref="L349:M349"/>
    <mergeCell ref="L348:M348"/>
    <mergeCell ref="A343:L343"/>
    <mergeCell ref="J345:K345"/>
    <mergeCell ref="A102:C102"/>
    <mergeCell ref="A103:C105"/>
    <mergeCell ref="A153:B153"/>
    <mergeCell ref="A289:I289"/>
    <mergeCell ref="J340:K340"/>
    <mergeCell ref="L166:M166"/>
    <mergeCell ref="A166:G166"/>
    <mergeCell ref="H188:J188"/>
    <mergeCell ref="L168:M168"/>
    <mergeCell ref="A267:I267"/>
    <mergeCell ref="H263:I263"/>
    <mergeCell ref="H190:J190"/>
    <mergeCell ref="I227:J227"/>
    <mergeCell ref="J232:K232"/>
    <mergeCell ref="L340:M340"/>
    <mergeCell ref="H334:I334"/>
    <mergeCell ref="K334:L334"/>
    <mergeCell ref="K330:L330"/>
    <mergeCell ref="L337:M337"/>
  </mergeCells>
  <phoneticPr fontId="0" type="noConversion"/>
  <conditionalFormatting sqref="F113:M130">
    <cfRule type="cellIs" dxfId="14" priority="13" stopIfTrue="1" operator="between">
      <formula>0</formula>
      <formula>0</formula>
    </cfRule>
    <cfRule type="cellIs" priority="14" stopIfTrue="1" operator="between">
      <formula>0</formula>
      <formula>0</formula>
    </cfRule>
  </conditionalFormatting>
  <conditionalFormatting sqref="J58:K58">
    <cfRule type="containsText" dxfId="13" priority="3" stopIfTrue="1" operator="containsText" text="Fehler">
      <formula>NOT(ISERROR(SEARCH("Fehler",J58)))</formula>
    </cfRule>
    <cfRule type="containsText" dxfId="12" priority="12" stopIfTrue="1" operator="containsText" text="nein">
      <formula>NOT(ISERROR(SEARCH("nein",J58)))</formula>
    </cfRule>
  </conditionalFormatting>
  <conditionalFormatting sqref="L58:M58">
    <cfRule type="containsText" dxfId="11" priority="11" stopIfTrue="1" operator="containsText" text="nein">
      <formula>NOT(ISERROR(SEARCH("nein",L58)))</formula>
    </cfRule>
  </conditionalFormatting>
  <conditionalFormatting sqref="J54:K54">
    <cfRule type="containsText" dxfId="10" priority="10" stopIfTrue="1" operator="containsText" text="nein">
      <formula>NOT(ISERROR(SEARCH("nein",J54)))</formula>
    </cfRule>
  </conditionalFormatting>
  <conditionalFormatting sqref="L54:M54">
    <cfRule type="containsText" dxfId="9" priority="9" stopIfTrue="1" operator="containsText" text="nein">
      <formula>NOT(ISERROR(SEARCH("nein",L54)))</formula>
    </cfRule>
  </conditionalFormatting>
  <conditionalFormatting sqref="J291:K291">
    <cfRule type="containsText" dxfId="8" priority="8" stopIfTrue="1" operator="containsText" text="nein">
      <formula>NOT(ISERROR(SEARCH("nein",J291)))</formula>
    </cfRule>
  </conditionalFormatting>
  <conditionalFormatting sqref="L291:M291">
    <cfRule type="containsText" dxfId="7" priority="7" stopIfTrue="1" operator="containsText" text="nein">
      <formula>NOT(ISERROR(SEARCH("nein",L291)))</formula>
    </cfRule>
  </conditionalFormatting>
  <conditionalFormatting sqref="J341:K341">
    <cfRule type="containsText" dxfId="6" priority="2" stopIfTrue="1" operator="containsText" text="Fehler">
      <formula>NOT(ISERROR(SEARCH("Fehler",J341)))</formula>
    </cfRule>
    <cfRule type="containsText" dxfId="5" priority="6" stopIfTrue="1" operator="containsText" text="nein">
      <formula>NOT(ISERROR(SEARCH("nein",J341)))</formula>
    </cfRule>
  </conditionalFormatting>
  <conditionalFormatting sqref="L341:M341">
    <cfRule type="containsText" dxfId="4" priority="5" stopIfTrue="1" operator="containsText" text="nein">
      <formula>NOT(ISERROR(SEARCH("nein",L341)))</formula>
    </cfRule>
  </conditionalFormatting>
  <conditionalFormatting sqref="J350:M350">
    <cfRule type="containsText" dxfId="3" priority="4" stopIfTrue="1" operator="containsText" text="nein">
      <formula>NOT(ISERROR(SEARCH("nein",J350)))</formula>
    </cfRule>
  </conditionalFormatting>
  <conditionalFormatting sqref="H190:J190">
    <cfRule type="containsText" dxfId="2" priority="1" stopIfTrue="1" operator="containsText" text="nein">
      <formula>NOT(ISERROR(SEARCH("nein",H190)))</formula>
    </cfRule>
  </conditionalFormatting>
  <dataValidations count="22">
    <dataValidation type="decimal" allowBlank="1" showInputMessage="1" showErrorMessage="1" errorTitle="Ungültige Eingabe" error="Geben Sie eine Dezimalzahl ein." sqref="H164:H166 J268:J271 L268:L271">
      <formula1>0</formula1>
      <formula2>99999</formula2>
    </dataValidation>
    <dataValidation type="whole" allowBlank="1" showInputMessage="1" showErrorMessage="1" errorTitle="Ungültige Eingabe" error="Geben Sie eine ganze Zahl ein." sqref="H167">
      <formula1>0</formula1>
      <formula2>99</formula2>
    </dataValidation>
    <dataValidation type="decimal" allowBlank="1" showInputMessage="1" showErrorMessage="1" errorTitle="Ungültige Dateneingabe" error="Geben Sie eine Zahl ein." sqref="G5:G6 H8 G9 G12 H10:H11">
      <formula1>0</formula1>
      <formula2>9999</formula2>
    </dataValidation>
    <dataValidation type="textLength" allowBlank="1" showInputMessage="1" showErrorMessage="1" errorTitle="Ungültige Dateneingabe" error="Geben Sie eine gültige Betriebsnummer ein." sqref="B5:C5">
      <formula1>10</formula1>
      <formula2>10</formula2>
    </dataValidation>
    <dataValidation type="whole" allowBlank="1" showInputMessage="1" showErrorMessage="1" errorTitle="Ungültige Dateneingabe" error="Geben Sie eine ganze Zahl zwischen 2000 und 15000 ein." sqref="B12">
      <formula1>2000</formula1>
      <formula2>15000</formula2>
    </dataValidation>
    <dataValidation type="whole" allowBlank="1" showInputMessage="1" showErrorMessage="1" errorTitle="Ungültige Dateineingabe" error="Geben Sie eine ganze Zahl zwischen 300 und 2500 ein." sqref="B13">
      <formula1>300</formula1>
      <formula2>2500</formula2>
    </dataValidation>
    <dataValidation allowBlank="1" showInputMessage="1" showErrorMessage="1" errorTitle="Ungültige Eingabe" error="Geben Sie eine Dezimalzahl ein." sqref="F261:G262 H262 J168:J170"/>
    <dataValidation type="decimal" allowBlank="1" showErrorMessage="1" errorTitle="Ungültige Eingabe" error="Geben Sie eine Dezimalzahl &lt; 100 ein." sqref="F263:I266 D263:D266">
      <formula1>0</formula1>
      <formula2>99</formula2>
    </dataValidation>
    <dataValidation type="decimal" allowBlank="1" showInputMessage="1" showErrorMessage="1" errorTitle="Ungültige Eingabe" error="Geben Sie eine Dezimalzahl &lt; 100 ein." sqref="H254:I260 F254:F260">
      <formula1>0</formula1>
      <formula2>99</formula2>
    </dataValidation>
    <dataValidation type="decimal" allowBlank="1" showInputMessage="1" showErrorMessage="1" errorTitle="Ungültige Eingabe" error="Geben Sie eine Dezimalzahl ein." sqref="L274:L278 J274:J278">
      <formula1>-999999</formula1>
      <formula2>999999</formula2>
    </dataValidation>
    <dataValidation type="decimal" allowBlank="1" showInputMessage="1" showErrorMessage="1" sqref="G13">
      <formula1>0</formula1>
      <formula2>100</formula2>
    </dataValidation>
    <dataValidation type="decimal" allowBlank="1" showInputMessage="1" showErrorMessage="1" errorTitle="Ungültige Eingabe" error="Geben Sie in dieses Feld eine ganze Zahl ein." sqref="G68:G81 Z68:AA87 G83:G87">
      <formula1>0</formula1>
      <formula2>1000000</formula2>
    </dataValidation>
    <dataValidation type="whole" allowBlank="1" showInputMessage="1" showErrorMessage="1" errorTitle="Ungültige Eingabe" error="Geben Sie in dieses Feld eine ganze Zahl ein." sqref="H68:I81">
      <formula1>0</formula1>
      <formula2>100</formula2>
    </dataValidation>
    <dataValidation type="decimal" operator="greaterThanOrEqual" allowBlank="1" showInputMessage="1" showErrorMessage="1" errorTitle="Falsche Eingabe" error="Geben sie eine positve Zahl ein." sqref="E68:F81 E83:F87">
      <formula1>0</formula1>
    </dataValidation>
    <dataValidation type="decimal" allowBlank="1" showInputMessage="1" showErrorMessage="1" errorTitle="Ungültige Eingabe" error="Geben Sie in dieses Feld eine ganze Zahl ein." sqref="H83:I87">
      <formula1>0</formula1>
      <formula2>100</formula2>
    </dataValidation>
    <dataValidation type="decimal" allowBlank="1" showInputMessage="1" showErrorMessage="1" error="Geben sie eine Dezimalzahl ein." sqref="E213">
      <formula1>0</formula1>
      <formula2>100</formula2>
    </dataValidation>
    <dataValidation type="decimal" allowBlank="1" showInputMessage="1" showErrorMessage="1" error="Geben sie eine Dezimalzahl ein._x000a_Der Wert muss kleiner als der TS-Gehalt, des zur Separierung vorgesehenen flüssigen Wirtschaftdüngers sein." sqref="G227">
      <formula1>0</formula1>
      <formula2>D204</formula2>
    </dataValidation>
    <dataValidation type="decimal" allowBlank="1" showInputMessage="1" showErrorMessage="1" errorTitle="ungültige Eingabe" error="Geben Sie eine Dezimalzahl ein." sqref="H168:H170">
      <formula1>0</formula1>
      <formula2>99999</formula2>
    </dataValidation>
    <dataValidation type="decimal" allowBlank="1" showInputMessage="1" showErrorMessage="1" sqref="F191:G193 F181:G181">
      <formula1>36</formula1>
      <formula2>40</formula2>
    </dataValidation>
    <dataValidation type="decimal" operator="greaterThanOrEqual" allowBlank="1" showInputMessage="1" showErrorMessage="1" error="Geben sie eine Dezimalzahl ein._x000a_Der Wert muss größer als der TS-Gehalt, des zur Separierung vorgesehenen flüssigen Wirtschaftdüngers sein." sqref="L227">
      <formula1>D204</formula1>
    </dataValidation>
    <dataValidation type="decimal" allowBlank="1" showInputMessage="1" showErrorMessage="1" sqref="H179">
      <formula1>-10</formula1>
      <formula2>20</formula2>
    </dataValidation>
    <dataValidation type="decimal" allowBlank="1" showInputMessage="1" showErrorMessage="1" sqref="H177:J177">
      <formula1>30</formula1>
      <formula2>40</formula2>
    </dataValidation>
  </dataValidations>
  <pageMargins left="0.39370078740157483" right="0.31496062992125984" top="0.39370078740157483" bottom="0.39370078740157483" header="0.31496062992125984" footer="0.31496062992125984"/>
  <pageSetup paperSize="9" fitToHeight="0" orientation="portrait" r:id="rId2"/>
  <headerFooter alignWithMargins="0">
    <oddFooter>&amp;C© Bayerische Landesanstalt für Landwirtschaft (Of, Li, Sp, Ka, Br, We); Stand: 06.07.20;        Seite:&amp;P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5" r:id="rId5" name="Drop Down 7">
              <controlPr defaultSize="0" autoLine="0" autoPict="0">
                <anchor moveWithCells="1">
                  <from>
                    <xdr:col>0</xdr:col>
                    <xdr:colOff>9525</xdr:colOff>
                    <xdr:row>68</xdr:row>
                    <xdr:rowOff>9525</xdr:rowOff>
                  </from>
                  <to>
                    <xdr:col>3</xdr:col>
                    <xdr:colOff>485775</xdr:colOff>
                    <xdr:row>68</xdr:row>
                    <xdr:rowOff>228600</xdr:rowOff>
                  </to>
                </anchor>
              </controlPr>
            </control>
          </mc:Choice>
        </mc:AlternateContent>
        <mc:AlternateContent xmlns:mc="http://schemas.openxmlformats.org/markup-compatibility/2006">
          <mc:Choice Requires="x14">
            <control shapeId="2058" r:id="rId6" name="Drop Down 10">
              <controlPr defaultSize="0" autoLine="0" autoPict="0">
                <anchor moveWithCells="1">
                  <from>
                    <xdr:col>0</xdr:col>
                    <xdr:colOff>9525</xdr:colOff>
                    <xdr:row>68</xdr:row>
                    <xdr:rowOff>219075</xdr:rowOff>
                  </from>
                  <to>
                    <xdr:col>3</xdr:col>
                    <xdr:colOff>485775</xdr:colOff>
                    <xdr:row>69</xdr:row>
                    <xdr:rowOff>209550</xdr:rowOff>
                  </to>
                </anchor>
              </controlPr>
            </control>
          </mc:Choice>
        </mc:AlternateContent>
        <mc:AlternateContent xmlns:mc="http://schemas.openxmlformats.org/markup-compatibility/2006">
          <mc:Choice Requires="x14">
            <control shapeId="2059" r:id="rId7" name="Drop Down 11">
              <controlPr defaultSize="0" autoLine="0" autoPict="0">
                <anchor moveWithCells="1">
                  <from>
                    <xdr:col>0</xdr:col>
                    <xdr:colOff>9525</xdr:colOff>
                    <xdr:row>69</xdr:row>
                    <xdr:rowOff>209550</xdr:rowOff>
                  </from>
                  <to>
                    <xdr:col>3</xdr:col>
                    <xdr:colOff>485775</xdr:colOff>
                    <xdr:row>70</xdr:row>
                    <xdr:rowOff>200025</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0</xdr:col>
                    <xdr:colOff>9525</xdr:colOff>
                    <xdr:row>70</xdr:row>
                    <xdr:rowOff>219075</xdr:rowOff>
                  </from>
                  <to>
                    <xdr:col>3</xdr:col>
                    <xdr:colOff>485775</xdr:colOff>
                    <xdr:row>71</xdr:row>
                    <xdr:rowOff>200025</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0</xdr:col>
                    <xdr:colOff>9525</xdr:colOff>
                    <xdr:row>71</xdr:row>
                    <xdr:rowOff>219075</xdr:rowOff>
                  </from>
                  <to>
                    <xdr:col>3</xdr:col>
                    <xdr:colOff>485775</xdr:colOff>
                    <xdr:row>72</xdr:row>
                    <xdr:rowOff>209550</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0</xdr:col>
                    <xdr:colOff>9525</xdr:colOff>
                    <xdr:row>72</xdr:row>
                    <xdr:rowOff>219075</xdr:rowOff>
                  </from>
                  <to>
                    <xdr:col>3</xdr:col>
                    <xdr:colOff>485775</xdr:colOff>
                    <xdr:row>73</xdr:row>
                    <xdr:rowOff>200025</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0</xdr:col>
                    <xdr:colOff>9525</xdr:colOff>
                    <xdr:row>73</xdr:row>
                    <xdr:rowOff>219075</xdr:rowOff>
                  </from>
                  <to>
                    <xdr:col>3</xdr:col>
                    <xdr:colOff>485775</xdr:colOff>
                    <xdr:row>74</xdr:row>
                    <xdr:rowOff>209550</xdr:rowOff>
                  </to>
                </anchor>
              </controlPr>
            </control>
          </mc:Choice>
        </mc:AlternateContent>
        <mc:AlternateContent xmlns:mc="http://schemas.openxmlformats.org/markup-compatibility/2006">
          <mc:Choice Requires="x14">
            <control shapeId="2064" r:id="rId12" name="Drop Down 16">
              <controlPr defaultSize="0" autoLine="0" autoPict="0">
                <anchor moveWithCells="1">
                  <from>
                    <xdr:col>0</xdr:col>
                    <xdr:colOff>9525</xdr:colOff>
                    <xdr:row>74</xdr:row>
                    <xdr:rowOff>219075</xdr:rowOff>
                  </from>
                  <to>
                    <xdr:col>3</xdr:col>
                    <xdr:colOff>485775</xdr:colOff>
                    <xdr:row>75</xdr:row>
                    <xdr:rowOff>209550</xdr:rowOff>
                  </to>
                </anchor>
              </controlPr>
            </control>
          </mc:Choice>
        </mc:AlternateContent>
        <mc:AlternateContent xmlns:mc="http://schemas.openxmlformats.org/markup-compatibility/2006">
          <mc:Choice Requires="x14">
            <control shapeId="2065" r:id="rId13" name="Drop Down 17">
              <controlPr defaultSize="0" autoLine="0" autoPict="0">
                <anchor moveWithCells="1">
                  <from>
                    <xdr:col>0</xdr:col>
                    <xdr:colOff>9525</xdr:colOff>
                    <xdr:row>78</xdr:row>
                    <xdr:rowOff>0</xdr:rowOff>
                  </from>
                  <to>
                    <xdr:col>3</xdr:col>
                    <xdr:colOff>485775</xdr:colOff>
                    <xdr:row>78</xdr:row>
                    <xdr:rowOff>219075</xdr:rowOff>
                  </to>
                </anchor>
              </controlPr>
            </control>
          </mc:Choice>
        </mc:AlternateContent>
        <mc:AlternateContent xmlns:mc="http://schemas.openxmlformats.org/markup-compatibility/2006">
          <mc:Choice Requires="x14">
            <control shapeId="2081" r:id="rId14" name="Drop Down 33">
              <controlPr defaultSize="0" autoLine="0" autoPict="0">
                <anchor moveWithCells="1">
                  <from>
                    <xdr:col>0</xdr:col>
                    <xdr:colOff>9525</xdr:colOff>
                    <xdr:row>79</xdr:row>
                    <xdr:rowOff>9525</xdr:rowOff>
                  </from>
                  <to>
                    <xdr:col>3</xdr:col>
                    <xdr:colOff>485775</xdr:colOff>
                    <xdr:row>79</xdr:row>
                    <xdr:rowOff>219075</xdr:rowOff>
                  </to>
                </anchor>
              </controlPr>
            </control>
          </mc:Choice>
        </mc:AlternateContent>
        <mc:AlternateContent xmlns:mc="http://schemas.openxmlformats.org/markup-compatibility/2006">
          <mc:Choice Requires="x14">
            <control shapeId="2082" r:id="rId15" name="Drop Down 34">
              <controlPr defaultSize="0" autoLine="0" autoPict="0">
                <anchor moveWithCells="1">
                  <from>
                    <xdr:col>0</xdr:col>
                    <xdr:colOff>9525</xdr:colOff>
                    <xdr:row>80</xdr:row>
                    <xdr:rowOff>9525</xdr:rowOff>
                  </from>
                  <to>
                    <xdr:col>3</xdr:col>
                    <xdr:colOff>485775</xdr:colOff>
                    <xdr:row>80</xdr:row>
                    <xdr:rowOff>219075</xdr:rowOff>
                  </to>
                </anchor>
              </controlPr>
            </control>
          </mc:Choice>
        </mc:AlternateContent>
        <mc:AlternateContent xmlns:mc="http://schemas.openxmlformats.org/markup-compatibility/2006">
          <mc:Choice Requires="x14">
            <control shapeId="2208" r:id="rId16" name="Drop Down 160">
              <controlPr defaultSize="0" autoLine="0" autoPict="0">
                <anchor moveWithCells="1">
                  <from>
                    <xdr:col>6</xdr:col>
                    <xdr:colOff>9525</xdr:colOff>
                    <xdr:row>67</xdr:row>
                    <xdr:rowOff>19050</xdr:rowOff>
                  </from>
                  <to>
                    <xdr:col>6</xdr:col>
                    <xdr:colOff>485775</xdr:colOff>
                    <xdr:row>68</xdr:row>
                    <xdr:rowOff>0</xdr:rowOff>
                  </to>
                </anchor>
              </controlPr>
            </control>
          </mc:Choice>
        </mc:AlternateContent>
        <mc:AlternateContent xmlns:mc="http://schemas.openxmlformats.org/markup-compatibility/2006">
          <mc:Choice Requires="x14">
            <control shapeId="2250" r:id="rId17" name="Drop Down 202">
              <controlPr defaultSize="0" autoLine="0" autoPict="0">
                <anchor moveWithCells="1">
                  <from>
                    <xdr:col>0</xdr:col>
                    <xdr:colOff>9525</xdr:colOff>
                    <xdr:row>67</xdr:row>
                    <xdr:rowOff>19050</xdr:rowOff>
                  </from>
                  <to>
                    <xdr:col>3</xdr:col>
                    <xdr:colOff>485775</xdr:colOff>
                    <xdr:row>68</xdr:row>
                    <xdr:rowOff>9525</xdr:rowOff>
                  </to>
                </anchor>
              </controlPr>
            </control>
          </mc:Choice>
        </mc:AlternateContent>
        <mc:AlternateContent xmlns:mc="http://schemas.openxmlformats.org/markup-compatibility/2006">
          <mc:Choice Requires="x14">
            <control shapeId="2261" r:id="rId18" name="Drop Down 213">
              <controlPr defaultSize="0" autoLine="0" autoPict="0">
                <anchor moveWithCells="1">
                  <from>
                    <xdr:col>6</xdr:col>
                    <xdr:colOff>9525</xdr:colOff>
                    <xdr:row>68</xdr:row>
                    <xdr:rowOff>19050</xdr:rowOff>
                  </from>
                  <to>
                    <xdr:col>6</xdr:col>
                    <xdr:colOff>485775</xdr:colOff>
                    <xdr:row>69</xdr:row>
                    <xdr:rowOff>0</xdr:rowOff>
                  </to>
                </anchor>
              </controlPr>
            </control>
          </mc:Choice>
        </mc:AlternateContent>
        <mc:AlternateContent xmlns:mc="http://schemas.openxmlformats.org/markup-compatibility/2006">
          <mc:Choice Requires="x14">
            <control shapeId="2262" r:id="rId19" name="Drop Down 214">
              <controlPr defaultSize="0" autoLine="0" autoPict="0">
                <anchor moveWithCells="1">
                  <from>
                    <xdr:col>6</xdr:col>
                    <xdr:colOff>9525</xdr:colOff>
                    <xdr:row>69</xdr:row>
                    <xdr:rowOff>28575</xdr:rowOff>
                  </from>
                  <to>
                    <xdr:col>6</xdr:col>
                    <xdr:colOff>485775</xdr:colOff>
                    <xdr:row>70</xdr:row>
                    <xdr:rowOff>9525</xdr:rowOff>
                  </to>
                </anchor>
              </controlPr>
            </control>
          </mc:Choice>
        </mc:AlternateContent>
        <mc:AlternateContent xmlns:mc="http://schemas.openxmlformats.org/markup-compatibility/2006">
          <mc:Choice Requires="x14">
            <control shapeId="2263" r:id="rId20" name="Drop Down 215">
              <controlPr defaultSize="0" autoLine="0" autoPict="0">
                <anchor moveWithCells="1">
                  <from>
                    <xdr:col>6</xdr:col>
                    <xdr:colOff>9525</xdr:colOff>
                    <xdr:row>70</xdr:row>
                    <xdr:rowOff>28575</xdr:rowOff>
                  </from>
                  <to>
                    <xdr:col>6</xdr:col>
                    <xdr:colOff>485775</xdr:colOff>
                    <xdr:row>71</xdr:row>
                    <xdr:rowOff>9525</xdr:rowOff>
                  </to>
                </anchor>
              </controlPr>
            </control>
          </mc:Choice>
        </mc:AlternateContent>
        <mc:AlternateContent xmlns:mc="http://schemas.openxmlformats.org/markup-compatibility/2006">
          <mc:Choice Requires="x14">
            <control shapeId="2264" r:id="rId21" name="Drop Down 216">
              <controlPr defaultSize="0" autoLine="0" autoPict="0">
                <anchor moveWithCells="1">
                  <from>
                    <xdr:col>6</xdr:col>
                    <xdr:colOff>9525</xdr:colOff>
                    <xdr:row>71</xdr:row>
                    <xdr:rowOff>28575</xdr:rowOff>
                  </from>
                  <to>
                    <xdr:col>6</xdr:col>
                    <xdr:colOff>485775</xdr:colOff>
                    <xdr:row>72</xdr:row>
                    <xdr:rowOff>9525</xdr:rowOff>
                  </to>
                </anchor>
              </controlPr>
            </control>
          </mc:Choice>
        </mc:AlternateContent>
        <mc:AlternateContent xmlns:mc="http://schemas.openxmlformats.org/markup-compatibility/2006">
          <mc:Choice Requires="x14">
            <control shapeId="2265" r:id="rId22" name="Drop Down 217">
              <controlPr defaultSize="0" autoLine="0" autoPict="0">
                <anchor moveWithCells="1">
                  <from>
                    <xdr:col>6</xdr:col>
                    <xdr:colOff>9525</xdr:colOff>
                    <xdr:row>72</xdr:row>
                    <xdr:rowOff>28575</xdr:rowOff>
                  </from>
                  <to>
                    <xdr:col>6</xdr:col>
                    <xdr:colOff>485775</xdr:colOff>
                    <xdr:row>73</xdr:row>
                    <xdr:rowOff>9525</xdr:rowOff>
                  </to>
                </anchor>
              </controlPr>
            </control>
          </mc:Choice>
        </mc:AlternateContent>
        <mc:AlternateContent xmlns:mc="http://schemas.openxmlformats.org/markup-compatibility/2006">
          <mc:Choice Requires="x14">
            <control shapeId="2266" r:id="rId23" name="Drop Down 218">
              <controlPr defaultSize="0" autoLine="0" autoPict="0">
                <anchor moveWithCells="1">
                  <from>
                    <xdr:col>6</xdr:col>
                    <xdr:colOff>9525</xdr:colOff>
                    <xdr:row>73</xdr:row>
                    <xdr:rowOff>28575</xdr:rowOff>
                  </from>
                  <to>
                    <xdr:col>6</xdr:col>
                    <xdr:colOff>485775</xdr:colOff>
                    <xdr:row>74</xdr:row>
                    <xdr:rowOff>9525</xdr:rowOff>
                  </to>
                </anchor>
              </controlPr>
            </control>
          </mc:Choice>
        </mc:AlternateContent>
        <mc:AlternateContent xmlns:mc="http://schemas.openxmlformats.org/markup-compatibility/2006">
          <mc:Choice Requires="x14">
            <control shapeId="2267" r:id="rId24" name="Drop Down 219">
              <controlPr defaultSize="0" autoLine="0" autoPict="0">
                <anchor moveWithCells="1">
                  <from>
                    <xdr:col>6</xdr:col>
                    <xdr:colOff>9525</xdr:colOff>
                    <xdr:row>74</xdr:row>
                    <xdr:rowOff>28575</xdr:rowOff>
                  </from>
                  <to>
                    <xdr:col>6</xdr:col>
                    <xdr:colOff>485775</xdr:colOff>
                    <xdr:row>75</xdr:row>
                    <xdr:rowOff>9525</xdr:rowOff>
                  </to>
                </anchor>
              </controlPr>
            </control>
          </mc:Choice>
        </mc:AlternateContent>
        <mc:AlternateContent xmlns:mc="http://schemas.openxmlformats.org/markup-compatibility/2006">
          <mc:Choice Requires="x14">
            <control shapeId="2268" r:id="rId25" name="Drop Down 220">
              <controlPr defaultSize="0" autoLine="0" autoPict="0">
                <anchor moveWithCells="1">
                  <from>
                    <xdr:col>6</xdr:col>
                    <xdr:colOff>9525</xdr:colOff>
                    <xdr:row>75</xdr:row>
                    <xdr:rowOff>28575</xdr:rowOff>
                  </from>
                  <to>
                    <xdr:col>6</xdr:col>
                    <xdr:colOff>485775</xdr:colOff>
                    <xdr:row>76</xdr:row>
                    <xdr:rowOff>9525</xdr:rowOff>
                  </to>
                </anchor>
              </controlPr>
            </control>
          </mc:Choice>
        </mc:AlternateContent>
        <mc:AlternateContent xmlns:mc="http://schemas.openxmlformats.org/markup-compatibility/2006">
          <mc:Choice Requires="x14">
            <control shapeId="2269" r:id="rId26" name="Drop Down 221">
              <controlPr defaultSize="0" autoLine="0" autoPict="0">
                <anchor moveWithCells="1">
                  <from>
                    <xdr:col>6</xdr:col>
                    <xdr:colOff>9525</xdr:colOff>
                    <xdr:row>78</xdr:row>
                    <xdr:rowOff>28575</xdr:rowOff>
                  </from>
                  <to>
                    <xdr:col>6</xdr:col>
                    <xdr:colOff>485775</xdr:colOff>
                    <xdr:row>79</xdr:row>
                    <xdr:rowOff>9525</xdr:rowOff>
                  </to>
                </anchor>
              </controlPr>
            </control>
          </mc:Choice>
        </mc:AlternateContent>
        <mc:AlternateContent xmlns:mc="http://schemas.openxmlformats.org/markup-compatibility/2006">
          <mc:Choice Requires="x14">
            <control shapeId="2270" r:id="rId27" name="Drop Down 222">
              <controlPr defaultSize="0" autoLine="0" autoPict="0">
                <anchor moveWithCells="1">
                  <from>
                    <xdr:col>6</xdr:col>
                    <xdr:colOff>9525</xdr:colOff>
                    <xdr:row>79</xdr:row>
                    <xdr:rowOff>28575</xdr:rowOff>
                  </from>
                  <to>
                    <xdr:col>6</xdr:col>
                    <xdr:colOff>485775</xdr:colOff>
                    <xdr:row>80</xdr:row>
                    <xdr:rowOff>9525</xdr:rowOff>
                  </to>
                </anchor>
              </controlPr>
            </control>
          </mc:Choice>
        </mc:AlternateContent>
        <mc:AlternateContent xmlns:mc="http://schemas.openxmlformats.org/markup-compatibility/2006">
          <mc:Choice Requires="x14">
            <control shapeId="2271" r:id="rId28" name="Drop Down 223">
              <controlPr defaultSize="0" autoLine="0" autoPict="0">
                <anchor moveWithCells="1">
                  <from>
                    <xdr:col>6</xdr:col>
                    <xdr:colOff>9525</xdr:colOff>
                    <xdr:row>80</xdr:row>
                    <xdr:rowOff>28575</xdr:rowOff>
                  </from>
                  <to>
                    <xdr:col>6</xdr:col>
                    <xdr:colOff>485775</xdr:colOff>
                    <xdr:row>81</xdr:row>
                    <xdr:rowOff>9525</xdr:rowOff>
                  </to>
                </anchor>
              </controlPr>
            </control>
          </mc:Choice>
        </mc:AlternateContent>
        <mc:AlternateContent xmlns:mc="http://schemas.openxmlformats.org/markup-compatibility/2006">
          <mc:Choice Requires="x14">
            <control shapeId="2304" r:id="rId29" name="Drop Down 256">
              <controlPr defaultSize="0" autoLine="0" autoPict="0">
                <anchor moveWithCells="1">
                  <from>
                    <xdr:col>6</xdr:col>
                    <xdr:colOff>19050</xdr:colOff>
                    <xdr:row>82</xdr:row>
                    <xdr:rowOff>9525</xdr:rowOff>
                  </from>
                  <to>
                    <xdr:col>6</xdr:col>
                    <xdr:colOff>495300</xdr:colOff>
                    <xdr:row>82</xdr:row>
                    <xdr:rowOff>219075</xdr:rowOff>
                  </to>
                </anchor>
              </controlPr>
            </control>
          </mc:Choice>
        </mc:AlternateContent>
        <mc:AlternateContent xmlns:mc="http://schemas.openxmlformats.org/markup-compatibility/2006">
          <mc:Choice Requires="x14">
            <control shapeId="2307" r:id="rId30" name="Drop Down 259">
              <controlPr defaultSize="0" autoLine="0" autoPict="0">
                <anchor moveWithCells="1">
                  <from>
                    <xdr:col>6</xdr:col>
                    <xdr:colOff>19050</xdr:colOff>
                    <xdr:row>85</xdr:row>
                    <xdr:rowOff>0</xdr:rowOff>
                  </from>
                  <to>
                    <xdr:col>6</xdr:col>
                    <xdr:colOff>495300</xdr:colOff>
                    <xdr:row>85</xdr:row>
                    <xdr:rowOff>209550</xdr:rowOff>
                  </to>
                </anchor>
              </controlPr>
            </control>
          </mc:Choice>
        </mc:AlternateContent>
        <mc:AlternateContent xmlns:mc="http://schemas.openxmlformats.org/markup-compatibility/2006">
          <mc:Choice Requires="x14">
            <control shapeId="2308" r:id="rId31" name="Drop Down 260">
              <controlPr defaultSize="0" autoLine="0" autoPict="0">
                <anchor moveWithCells="1">
                  <from>
                    <xdr:col>6</xdr:col>
                    <xdr:colOff>19050</xdr:colOff>
                    <xdr:row>86</xdr:row>
                    <xdr:rowOff>0</xdr:rowOff>
                  </from>
                  <to>
                    <xdr:col>6</xdr:col>
                    <xdr:colOff>495300</xdr:colOff>
                    <xdr:row>86</xdr:row>
                    <xdr:rowOff>209550</xdr:rowOff>
                  </to>
                </anchor>
              </controlPr>
            </control>
          </mc:Choice>
        </mc:AlternateContent>
        <mc:AlternateContent xmlns:mc="http://schemas.openxmlformats.org/markup-compatibility/2006">
          <mc:Choice Requires="x14">
            <control shapeId="2368" r:id="rId32" name="Drop Down 320">
              <controlPr defaultSize="0" autoLine="0" autoPict="0">
                <anchor moveWithCells="1">
                  <from>
                    <xdr:col>3</xdr:col>
                    <xdr:colOff>19050</xdr:colOff>
                    <xdr:row>262</xdr:row>
                    <xdr:rowOff>0</xdr:rowOff>
                  </from>
                  <to>
                    <xdr:col>5</xdr:col>
                    <xdr:colOff>0</xdr:colOff>
                    <xdr:row>262</xdr:row>
                    <xdr:rowOff>209550</xdr:rowOff>
                  </to>
                </anchor>
              </controlPr>
            </control>
          </mc:Choice>
        </mc:AlternateContent>
        <mc:AlternateContent xmlns:mc="http://schemas.openxmlformats.org/markup-compatibility/2006">
          <mc:Choice Requires="x14">
            <control shapeId="2370" r:id="rId33" name="Drop Down 322">
              <controlPr defaultSize="0" autoLine="0" autoPict="0">
                <anchor moveWithCells="1">
                  <from>
                    <xdr:col>3</xdr:col>
                    <xdr:colOff>19050</xdr:colOff>
                    <xdr:row>263</xdr:row>
                    <xdr:rowOff>9525</xdr:rowOff>
                  </from>
                  <to>
                    <xdr:col>5</xdr:col>
                    <xdr:colOff>0</xdr:colOff>
                    <xdr:row>263</xdr:row>
                    <xdr:rowOff>209550</xdr:rowOff>
                  </to>
                </anchor>
              </controlPr>
            </control>
          </mc:Choice>
        </mc:AlternateContent>
        <mc:AlternateContent xmlns:mc="http://schemas.openxmlformats.org/markup-compatibility/2006">
          <mc:Choice Requires="x14">
            <control shapeId="2371" r:id="rId34" name="Drop Down 323">
              <controlPr defaultSize="0" autoLine="0" autoPict="0">
                <anchor moveWithCells="1">
                  <from>
                    <xdr:col>3</xdr:col>
                    <xdr:colOff>19050</xdr:colOff>
                    <xdr:row>264</xdr:row>
                    <xdr:rowOff>9525</xdr:rowOff>
                  </from>
                  <to>
                    <xdr:col>5</xdr:col>
                    <xdr:colOff>0</xdr:colOff>
                    <xdr:row>264</xdr:row>
                    <xdr:rowOff>219075</xdr:rowOff>
                  </to>
                </anchor>
              </controlPr>
            </control>
          </mc:Choice>
        </mc:AlternateContent>
        <mc:AlternateContent xmlns:mc="http://schemas.openxmlformats.org/markup-compatibility/2006">
          <mc:Choice Requires="x14">
            <control shapeId="2372" r:id="rId35" name="Drop Down 324">
              <controlPr defaultSize="0" autoLine="0" autoPict="0">
                <anchor moveWithCells="1">
                  <from>
                    <xdr:col>3</xdr:col>
                    <xdr:colOff>19050</xdr:colOff>
                    <xdr:row>265</xdr:row>
                    <xdr:rowOff>9525</xdr:rowOff>
                  </from>
                  <to>
                    <xdr:col>5</xdr:col>
                    <xdr:colOff>0</xdr:colOff>
                    <xdr:row>265</xdr:row>
                    <xdr:rowOff>209550</xdr:rowOff>
                  </to>
                </anchor>
              </controlPr>
            </control>
          </mc:Choice>
        </mc:AlternateContent>
        <mc:AlternateContent xmlns:mc="http://schemas.openxmlformats.org/markup-compatibility/2006">
          <mc:Choice Requires="x14">
            <control shapeId="2401" r:id="rId36" name="Drop Down 353">
              <controlPr defaultSize="0" autoLine="0" autoPict="0">
                <anchor moveWithCells="1">
                  <from>
                    <xdr:col>0</xdr:col>
                    <xdr:colOff>0</xdr:colOff>
                    <xdr:row>273</xdr:row>
                    <xdr:rowOff>0</xdr:rowOff>
                  </from>
                  <to>
                    <xdr:col>0</xdr:col>
                    <xdr:colOff>962025</xdr:colOff>
                    <xdr:row>274</xdr:row>
                    <xdr:rowOff>9525</xdr:rowOff>
                  </to>
                </anchor>
              </controlPr>
            </control>
          </mc:Choice>
        </mc:AlternateContent>
        <mc:AlternateContent xmlns:mc="http://schemas.openxmlformats.org/markup-compatibility/2006">
          <mc:Choice Requires="x14">
            <control shapeId="2402" r:id="rId37" name="Drop Down 354">
              <controlPr defaultSize="0" autoLine="0" autoPict="0">
                <anchor moveWithCells="1">
                  <from>
                    <xdr:col>0</xdr:col>
                    <xdr:colOff>0</xdr:colOff>
                    <xdr:row>274</xdr:row>
                    <xdr:rowOff>0</xdr:rowOff>
                  </from>
                  <to>
                    <xdr:col>0</xdr:col>
                    <xdr:colOff>962025</xdr:colOff>
                    <xdr:row>275</xdr:row>
                    <xdr:rowOff>9525</xdr:rowOff>
                  </to>
                </anchor>
              </controlPr>
            </control>
          </mc:Choice>
        </mc:AlternateContent>
        <mc:AlternateContent xmlns:mc="http://schemas.openxmlformats.org/markup-compatibility/2006">
          <mc:Choice Requires="x14">
            <control shapeId="2403" r:id="rId38" name="Drop Down 355">
              <controlPr defaultSize="0" autoLine="0" autoPict="0">
                <anchor moveWithCells="1">
                  <from>
                    <xdr:col>0</xdr:col>
                    <xdr:colOff>0</xdr:colOff>
                    <xdr:row>275</xdr:row>
                    <xdr:rowOff>0</xdr:rowOff>
                  </from>
                  <to>
                    <xdr:col>0</xdr:col>
                    <xdr:colOff>962025</xdr:colOff>
                    <xdr:row>276</xdr:row>
                    <xdr:rowOff>9525</xdr:rowOff>
                  </to>
                </anchor>
              </controlPr>
            </control>
          </mc:Choice>
        </mc:AlternateContent>
        <mc:AlternateContent xmlns:mc="http://schemas.openxmlformats.org/markup-compatibility/2006">
          <mc:Choice Requires="x14">
            <control shapeId="2404" r:id="rId39" name="Drop Down 356">
              <controlPr defaultSize="0" autoLine="0" autoPict="0">
                <anchor moveWithCells="1">
                  <from>
                    <xdr:col>0</xdr:col>
                    <xdr:colOff>0</xdr:colOff>
                    <xdr:row>277</xdr:row>
                    <xdr:rowOff>0</xdr:rowOff>
                  </from>
                  <to>
                    <xdr:col>0</xdr:col>
                    <xdr:colOff>962025</xdr:colOff>
                    <xdr:row>278</xdr:row>
                    <xdr:rowOff>9525</xdr:rowOff>
                  </to>
                </anchor>
              </controlPr>
            </control>
          </mc:Choice>
        </mc:AlternateContent>
        <mc:AlternateContent xmlns:mc="http://schemas.openxmlformats.org/markup-compatibility/2006">
          <mc:Choice Requires="x14">
            <control shapeId="57789" r:id="rId40" name="Drop Down 2493">
              <controlPr defaultSize="0" autoLine="0" autoPict="0">
                <anchor moveWithCells="1">
                  <from>
                    <xdr:col>6</xdr:col>
                    <xdr:colOff>0</xdr:colOff>
                    <xdr:row>12</xdr:row>
                    <xdr:rowOff>9525</xdr:rowOff>
                  </from>
                  <to>
                    <xdr:col>6</xdr:col>
                    <xdr:colOff>495300</xdr:colOff>
                    <xdr:row>13</xdr:row>
                    <xdr:rowOff>9525</xdr:rowOff>
                  </to>
                </anchor>
              </controlPr>
            </control>
          </mc:Choice>
        </mc:AlternateContent>
        <mc:AlternateContent xmlns:mc="http://schemas.openxmlformats.org/markup-compatibility/2006">
          <mc:Choice Requires="x14">
            <control shapeId="120435" r:id="rId41" name="Drop Down 8819">
              <controlPr defaultSize="0" autoLine="0" autoPict="0">
                <anchor moveWithCells="1">
                  <from>
                    <xdr:col>0</xdr:col>
                    <xdr:colOff>9525</xdr:colOff>
                    <xdr:row>112</xdr:row>
                    <xdr:rowOff>9525</xdr:rowOff>
                  </from>
                  <to>
                    <xdr:col>2</xdr:col>
                    <xdr:colOff>0</xdr:colOff>
                    <xdr:row>112</xdr:row>
                    <xdr:rowOff>200025</xdr:rowOff>
                  </to>
                </anchor>
              </controlPr>
            </control>
          </mc:Choice>
        </mc:AlternateContent>
        <mc:AlternateContent xmlns:mc="http://schemas.openxmlformats.org/markup-compatibility/2006">
          <mc:Choice Requires="x14">
            <control shapeId="125183" r:id="rId42" name="Drop Down 10495">
              <controlPr defaultSize="0" autoLine="0" autoPict="0">
                <anchor moveWithCells="1">
                  <from>
                    <xdr:col>5</xdr:col>
                    <xdr:colOff>9525</xdr:colOff>
                    <xdr:row>136</xdr:row>
                    <xdr:rowOff>9525</xdr:rowOff>
                  </from>
                  <to>
                    <xdr:col>5</xdr:col>
                    <xdr:colOff>485775</xdr:colOff>
                    <xdr:row>137</xdr:row>
                    <xdr:rowOff>0</xdr:rowOff>
                  </to>
                </anchor>
              </controlPr>
            </control>
          </mc:Choice>
        </mc:AlternateContent>
        <mc:AlternateContent xmlns:mc="http://schemas.openxmlformats.org/markup-compatibility/2006">
          <mc:Choice Requires="x14">
            <control shapeId="125357" r:id="rId43" name="Check Box 10669">
              <controlPr locked="0" defaultSize="0" autoFill="0" autoLine="0" autoPict="0">
                <anchor moveWithCells="1">
                  <from>
                    <xdr:col>2</xdr:col>
                    <xdr:colOff>47625</xdr:colOff>
                    <xdr:row>111</xdr:row>
                    <xdr:rowOff>190500</xdr:rowOff>
                  </from>
                  <to>
                    <xdr:col>2</xdr:col>
                    <xdr:colOff>285750</xdr:colOff>
                    <xdr:row>112</xdr:row>
                    <xdr:rowOff>190500</xdr:rowOff>
                  </to>
                </anchor>
              </controlPr>
            </control>
          </mc:Choice>
        </mc:AlternateContent>
        <mc:AlternateContent xmlns:mc="http://schemas.openxmlformats.org/markup-compatibility/2006">
          <mc:Choice Requires="x14">
            <control shapeId="125907" r:id="rId44" name="Check Box 11219">
              <controlPr locked="0" defaultSize="0" autoFill="0" autoLine="0" autoPict="0">
                <anchor moveWithCells="1">
                  <from>
                    <xdr:col>2</xdr:col>
                    <xdr:colOff>47625</xdr:colOff>
                    <xdr:row>136</xdr:row>
                    <xdr:rowOff>19050</xdr:rowOff>
                  </from>
                  <to>
                    <xdr:col>2</xdr:col>
                    <xdr:colOff>285750</xdr:colOff>
                    <xdr:row>137</xdr:row>
                    <xdr:rowOff>19050</xdr:rowOff>
                  </to>
                </anchor>
              </controlPr>
            </control>
          </mc:Choice>
        </mc:AlternateContent>
        <mc:AlternateContent xmlns:mc="http://schemas.openxmlformats.org/markup-compatibility/2006">
          <mc:Choice Requires="x14">
            <control shapeId="129542" r:id="rId45" name="Check Box 11782">
              <controlPr locked="0" defaultSize="0" autoFill="0" autoLine="0" autoPict="0">
                <anchor moveWithCells="1">
                  <from>
                    <xdr:col>4</xdr:col>
                    <xdr:colOff>142875</xdr:colOff>
                    <xdr:row>304</xdr:row>
                    <xdr:rowOff>9525</xdr:rowOff>
                  </from>
                  <to>
                    <xdr:col>4</xdr:col>
                    <xdr:colOff>381000</xdr:colOff>
                    <xdr:row>305</xdr:row>
                    <xdr:rowOff>9525</xdr:rowOff>
                  </to>
                </anchor>
              </controlPr>
            </control>
          </mc:Choice>
        </mc:AlternateContent>
        <mc:AlternateContent xmlns:mc="http://schemas.openxmlformats.org/markup-compatibility/2006">
          <mc:Choice Requires="x14">
            <control shapeId="131405" r:id="rId46" name="Check Box 12621">
              <controlPr locked="0" defaultSize="0" autoFill="0" autoLine="0" autoPict="0">
                <anchor moveWithCells="1">
                  <from>
                    <xdr:col>12</xdr:col>
                    <xdr:colOff>104775</xdr:colOff>
                    <xdr:row>67</xdr:row>
                    <xdr:rowOff>0</xdr:rowOff>
                  </from>
                  <to>
                    <xdr:col>12</xdr:col>
                    <xdr:colOff>342900</xdr:colOff>
                    <xdr:row>67</xdr:row>
                    <xdr:rowOff>200025</xdr:rowOff>
                  </to>
                </anchor>
              </controlPr>
            </control>
          </mc:Choice>
        </mc:AlternateContent>
        <mc:AlternateContent xmlns:mc="http://schemas.openxmlformats.org/markup-compatibility/2006">
          <mc:Choice Requires="x14">
            <control shapeId="131702" r:id="rId47" name="Check Box 12918">
              <controlPr locked="0" defaultSize="0" autoFill="0" autoLine="0" autoPict="0">
                <anchor moveWithCells="1">
                  <from>
                    <xdr:col>12</xdr:col>
                    <xdr:colOff>104775</xdr:colOff>
                    <xdr:row>70</xdr:row>
                    <xdr:rowOff>9525</xdr:rowOff>
                  </from>
                  <to>
                    <xdr:col>12</xdr:col>
                    <xdr:colOff>342900</xdr:colOff>
                    <xdr:row>70</xdr:row>
                    <xdr:rowOff>209550</xdr:rowOff>
                  </to>
                </anchor>
              </controlPr>
            </control>
          </mc:Choice>
        </mc:AlternateContent>
        <mc:AlternateContent xmlns:mc="http://schemas.openxmlformats.org/markup-compatibility/2006">
          <mc:Choice Requires="x14">
            <control shapeId="131703" r:id="rId48" name="Check Box 12919">
              <controlPr locked="0" defaultSize="0" autoFill="0" autoLine="0" autoPict="0">
                <anchor moveWithCells="1">
                  <from>
                    <xdr:col>12</xdr:col>
                    <xdr:colOff>104775</xdr:colOff>
                    <xdr:row>73</xdr:row>
                    <xdr:rowOff>0</xdr:rowOff>
                  </from>
                  <to>
                    <xdr:col>12</xdr:col>
                    <xdr:colOff>342900</xdr:colOff>
                    <xdr:row>73</xdr:row>
                    <xdr:rowOff>200025</xdr:rowOff>
                  </to>
                </anchor>
              </controlPr>
            </control>
          </mc:Choice>
        </mc:AlternateContent>
        <mc:AlternateContent xmlns:mc="http://schemas.openxmlformats.org/markup-compatibility/2006">
          <mc:Choice Requires="x14">
            <control shapeId="131705" r:id="rId49" name="Check Box 12921">
              <controlPr locked="0" defaultSize="0" autoFill="0" autoLine="0" autoPict="0">
                <anchor moveWithCells="1">
                  <from>
                    <xdr:col>12</xdr:col>
                    <xdr:colOff>114300</xdr:colOff>
                    <xdr:row>71</xdr:row>
                    <xdr:rowOff>0</xdr:rowOff>
                  </from>
                  <to>
                    <xdr:col>12</xdr:col>
                    <xdr:colOff>352425</xdr:colOff>
                    <xdr:row>71</xdr:row>
                    <xdr:rowOff>200025</xdr:rowOff>
                  </to>
                </anchor>
              </controlPr>
            </control>
          </mc:Choice>
        </mc:AlternateContent>
        <mc:AlternateContent xmlns:mc="http://schemas.openxmlformats.org/markup-compatibility/2006">
          <mc:Choice Requires="x14">
            <control shapeId="131706" r:id="rId50" name="Check Box 12922">
              <controlPr locked="0" defaultSize="0" autoFill="0" autoLine="0" autoPict="0">
                <anchor moveWithCells="1">
                  <from>
                    <xdr:col>12</xdr:col>
                    <xdr:colOff>104775</xdr:colOff>
                    <xdr:row>72</xdr:row>
                    <xdr:rowOff>0</xdr:rowOff>
                  </from>
                  <to>
                    <xdr:col>12</xdr:col>
                    <xdr:colOff>342900</xdr:colOff>
                    <xdr:row>72</xdr:row>
                    <xdr:rowOff>200025</xdr:rowOff>
                  </to>
                </anchor>
              </controlPr>
            </control>
          </mc:Choice>
        </mc:AlternateContent>
        <mc:AlternateContent xmlns:mc="http://schemas.openxmlformats.org/markup-compatibility/2006">
          <mc:Choice Requires="x14">
            <control shapeId="131707" r:id="rId51" name="Check Box 12923">
              <controlPr locked="0" defaultSize="0" autoFill="0" autoLine="0" autoPict="0">
                <anchor moveWithCells="1">
                  <from>
                    <xdr:col>12</xdr:col>
                    <xdr:colOff>114300</xdr:colOff>
                    <xdr:row>74</xdr:row>
                    <xdr:rowOff>0</xdr:rowOff>
                  </from>
                  <to>
                    <xdr:col>12</xdr:col>
                    <xdr:colOff>352425</xdr:colOff>
                    <xdr:row>74</xdr:row>
                    <xdr:rowOff>200025</xdr:rowOff>
                  </to>
                </anchor>
              </controlPr>
            </control>
          </mc:Choice>
        </mc:AlternateContent>
        <mc:AlternateContent xmlns:mc="http://schemas.openxmlformats.org/markup-compatibility/2006">
          <mc:Choice Requires="x14">
            <control shapeId="131708" r:id="rId52" name="Check Box 12924">
              <controlPr locked="0" defaultSize="0" autoFill="0" autoLine="0" autoPict="0">
                <anchor moveWithCells="1">
                  <from>
                    <xdr:col>12</xdr:col>
                    <xdr:colOff>114300</xdr:colOff>
                    <xdr:row>75</xdr:row>
                    <xdr:rowOff>0</xdr:rowOff>
                  </from>
                  <to>
                    <xdr:col>12</xdr:col>
                    <xdr:colOff>352425</xdr:colOff>
                    <xdr:row>75</xdr:row>
                    <xdr:rowOff>200025</xdr:rowOff>
                  </to>
                </anchor>
              </controlPr>
            </control>
          </mc:Choice>
        </mc:AlternateContent>
        <mc:AlternateContent xmlns:mc="http://schemas.openxmlformats.org/markup-compatibility/2006">
          <mc:Choice Requires="x14">
            <control shapeId="131709" r:id="rId53" name="Check Box 12925">
              <controlPr locked="0" defaultSize="0" autoFill="0" autoLine="0" autoPict="0">
                <anchor moveWithCells="1">
                  <from>
                    <xdr:col>12</xdr:col>
                    <xdr:colOff>114300</xdr:colOff>
                    <xdr:row>78</xdr:row>
                    <xdr:rowOff>0</xdr:rowOff>
                  </from>
                  <to>
                    <xdr:col>12</xdr:col>
                    <xdr:colOff>352425</xdr:colOff>
                    <xdr:row>78</xdr:row>
                    <xdr:rowOff>200025</xdr:rowOff>
                  </to>
                </anchor>
              </controlPr>
            </control>
          </mc:Choice>
        </mc:AlternateContent>
        <mc:AlternateContent xmlns:mc="http://schemas.openxmlformats.org/markup-compatibility/2006">
          <mc:Choice Requires="x14">
            <control shapeId="131710" r:id="rId54" name="Check Box 12926">
              <controlPr locked="0" defaultSize="0" autoFill="0" autoLine="0" autoPict="0">
                <anchor moveWithCells="1">
                  <from>
                    <xdr:col>12</xdr:col>
                    <xdr:colOff>114300</xdr:colOff>
                    <xdr:row>79</xdr:row>
                    <xdr:rowOff>0</xdr:rowOff>
                  </from>
                  <to>
                    <xdr:col>12</xdr:col>
                    <xdr:colOff>352425</xdr:colOff>
                    <xdr:row>79</xdr:row>
                    <xdr:rowOff>200025</xdr:rowOff>
                  </to>
                </anchor>
              </controlPr>
            </control>
          </mc:Choice>
        </mc:AlternateContent>
        <mc:AlternateContent xmlns:mc="http://schemas.openxmlformats.org/markup-compatibility/2006">
          <mc:Choice Requires="x14">
            <control shapeId="131711" r:id="rId55" name="Check Box 12927">
              <controlPr locked="0" defaultSize="0" autoFill="0" autoLine="0" autoPict="0">
                <anchor moveWithCells="1">
                  <from>
                    <xdr:col>12</xdr:col>
                    <xdr:colOff>114300</xdr:colOff>
                    <xdr:row>80</xdr:row>
                    <xdr:rowOff>0</xdr:rowOff>
                  </from>
                  <to>
                    <xdr:col>12</xdr:col>
                    <xdr:colOff>352425</xdr:colOff>
                    <xdr:row>80</xdr:row>
                    <xdr:rowOff>200025</xdr:rowOff>
                  </to>
                </anchor>
              </controlPr>
            </control>
          </mc:Choice>
        </mc:AlternateContent>
        <mc:AlternateContent xmlns:mc="http://schemas.openxmlformats.org/markup-compatibility/2006">
          <mc:Choice Requires="x14">
            <control shapeId="131712" r:id="rId56" name="Check Box 12928">
              <controlPr locked="0" defaultSize="0" autoFill="0" autoLine="0" autoPict="0">
                <anchor moveWithCells="1">
                  <from>
                    <xdr:col>12</xdr:col>
                    <xdr:colOff>114300</xdr:colOff>
                    <xdr:row>82</xdr:row>
                    <xdr:rowOff>0</xdr:rowOff>
                  </from>
                  <to>
                    <xdr:col>12</xdr:col>
                    <xdr:colOff>352425</xdr:colOff>
                    <xdr:row>82</xdr:row>
                    <xdr:rowOff>200025</xdr:rowOff>
                  </to>
                </anchor>
              </controlPr>
            </control>
          </mc:Choice>
        </mc:AlternateContent>
        <mc:AlternateContent xmlns:mc="http://schemas.openxmlformats.org/markup-compatibility/2006">
          <mc:Choice Requires="x14">
            <control shapeId="131713" r:id="rId57" name="Check Box 12929">
              <controlPr locked="0" defaultSize="0" autoFill="0" autoLine="0" autoPict="0">
                <anchor moveWithCells="1">
                  <from>
                    <xdr:col>12</xdr:col>
                    <xdr:colOff>114300</xdr:colOff>
                    <xdr:row>85</xdr:row>
                    <xdr:rowOff>0</xdr:rowOff>
                  </from>
                  <to>
                    <xdr:col>12</xdr:col>
                    <xdr:colOff>352425</xdr:colOff>
                    <xdr:row>85</xdr:row>
                    <xdr:rowOff>200025</xdr:rowOff>
                  </to>
                </anchor>
              </controlPr>
            </control>
          </mc:Choice>
        </mc:AlternateContent>
        <mc:AlternateContent xmlns:mc="http://schemas.openxmlformats.org/markup-compatibility/2006">
          <mc:Choice Requires="x14">
            <control shapeId="131714" r:id="rId58" name="Check Box 12930">
              <controlPr locked="0" defaultSize="0" autoFill="0" autoLine="0" autoPict="0">
                <anchor moveWithCells="1">
                  <from>
                    <xdr:col>12</xdr:col>
                    <xdr:colOff>114300</xdr:colOff>
                    <xdr:row>86</xdr:row>
                    <xdr:rowOff>0</xdr:rowOff>
                  </from>
                  <to>
                    <xdr:col>12</xdr:col>
                    <xdr:colOff>352425</xdr:colOff>
                    <xdr:row>86</xdr:row>
                    <xdr:rowOff>200025</xdr:rowOff>
                  </to>
                </anchor>
              </controlPr>
            </control>
          </mc:Choice>
        </mc:AlternateContent>
        <mc:AlternateContent xmlns:mc="http://schemas.openxmlformats.org/markup-compatibility/2006">
          <mc:Choice Requires="x14">
            <control shapeId="131848" r:id="rId59" name="Check Box 13064">
              <controlPr locked="0" defaultSize="0" autoFill="0" autoLine="0" autoPict="0">
                <anchor moveWithCells="1">
                  <from>
                    <xdr:col>12</xdr:col>
                    <xdr:colOff>104775</xdr:colOff>
                    <xdr:row>68</xdr:row>
                    <xdr:rowOff>0</xdr:rowOff>
                  </from>
                  <to>
                    <xdr:col>12</xdr:col>
                    <xdr:colOff>342900</xdr:colOff>
                    <xdr:row>68</xdr:row>
                    <xdr:rowOff>200025</xdr:rowOff>
                  </to>
                </anchor>
              </controlPr>
            </control>
          </mc:Choice>
        </mc:AlternateContent>
        <mc:AlternateContent xmlns:mc="http://schemas.openxmlformats.org/markup-compatibility/2006">
          <mc:Choice Requires="x14">
            <control shapeId="131849" r:id="rId60" name="Check Box 13065">
              <controlPr locked="0" defaultSize="0" autoFill="0" autoLine="0" autoPict="0">
                <anchor moveWithCells="1">
                  <from>
                    <xdr:col>12</xdr:col>
                    <xdr:colOff>104775</xdr:colOff>
                    <xdr:row>69</xdr:row>
                    <xdr:rowOff>0</xdr:rowOff>
                  </from>
                  <to>
                    <xdr:col>12</xdr:col>
                    <xdr:colOff>342900</xdr:colOff>
                    <xdr:row>69</xdr:row>
                    <xdr:rowOff>200025</xdr:rowOff>
                  </to>
                </anchor>
              </controlPr>
            </control>
          </mc:Choice>
        </mc:AlternateContent>
        <mc:AlternateContent xmlns:mc="http://schemas.openxmlformats.org/markup-compatibility/2006">
          <mc:Choice Requires="x14">
            <control shapeId="136820" r:id="rId61" name="Drop Down 14964">
              <controlPr defaultSize="0" autoLine="0" autoPict="0">
                <anchor moveWithCells="1">
                  <from>
                    <xdr:col>11</xdr:col>
                    <xdr:colOff>9525</xdr:colOff>
                    <xdr:row>163</xdr:row>
                    <xdr:rowOff>9525</xdr:rowOff>
                  </from>
                  <to>
                    <xdr:col>12</xdr:col>
                    <xdr:colOff>428625</xdr:colOff>
                    <xdr:row>163</xdr:row>
                    <xdr:rowOff>238125</xdr:rowOff>
                  </to>
                </anchor>
              </controlPr>
            </control>
          </mc:Choice>
        </mc:AlternateContent>
        <mc:AlternateContent xmlns:mc="http://schemas.openxmlformats.org/markup-compatibility/2006">
          <mc:Choice Requires="x14">
            <control shapeId="139226" r:id="rId62" name="Check Box 16346">
              <controlPr locked="0" defaultSize="0" autoFill="0" autoLine="0" autoPict="0">
                <anchor moveWithCells="1">
                  <from>
                    <xdr:col>4</xdr:col>
                    <xdr:colOff>142875</xdr:colOff>
                    <xdr:row>305</xdr:row>
                    <xdr:rowOff>9525</xdr:rowOff>
                  </from>
                  <to>
                    <xdr:col>4</xdr:col>
                    <xdr:colOff>381000</xdr:colOff>
                    <xdr:row>305</xdr:row>
                    <xdr:rowOff>200025</xdr:rowOff>
                  </to>
                </anchor>
              </controlPr>
            </control>
          </mc:Choice>
        </mc:AlternateContent>
        <mc:AlternateContent xmlns:mc="http://schemas.openxmlformats.org/markup-compatibility/2006">
          <mc:Choice Requires="x14">
            <control shapeId="139227" r:id="rId63" name="Check Box 16347">
              <controlPr defaultSize="0" autoFill="0" autoLine="0" autoPict="0">
                <anchor moveWithCells="1">
                  <from>
                    <xdr:col>4</xdr:col>
                    <xdr:colOff>142875</xdr:colOff>
                    <xdr:row>306</xdr:row>
                    <xdr:rowOff>9525</xdr:rowOff>
                  </from>
                  <to>
                    <xdr:col>4</xdr:col>
                    <xdr:colOff>381000</xdr:colOff>
                    <xdr:row>306</xdr:row>
                    <xdr:rowOff>200025</xdr:rowOff>
                  </to>
                </anchor>
              </controlPr>
            </control>
          </mc:Choice>
        </mc:AlternateContent>
        <mc:AlternateContent xmlns:mc="http://schemas.openxmlformats.org/markup-compatibility/2006">
          <mc:Choice Requires="x14">
            <control shapeId="150357" r:id="rId64" name="Drop Down 21333">
              <controlPr defaultSize="0" autoLine="0" autoPict="0">
                <anchor moveWithCells="1">
                  <from>
                    <xdr:col>0</xdr:col>
                    <xdr:colOff>9525</xdr:colOff>
                    <xdr:row>113</xdr:row>
                    <xdr:rowOff>9525</xdr:rowOff>
                  </from>
                  <to>
                    <xdr:col>2</xdr:col>
                    <xdr:colOff>0</xdr:colOff>
                    <xdr:row>114</xdr:row>
                    <xdr:rowOff>0</xdr:rowOff>
                  </to>
                </anchor>
              </controlPr>
            </control>
          </mc:Choice>
        </mc:AlternateContent>
        <mc:AlternateContent xmlns:mc="http://schemas.openxmlformats.org/markup-compatibility/2006">
          <mc:Choice Requires="x14">
            <control shapeId="150358" r:id="rId65" name="Check Box 21334">
              <controlPr locked="0" defaultSize="0" autoFill="0" autoLine="0" autoPict="0">
                <anchor moveWithCells="1">
                  <from>
                    <xdr:col>2</xdr:col>
                    <xdr:colOff>47625</xdr:colOff>
                    <xdr:row>112</xdr:row>
                    <xdr:rowOff>190500</xdr:rowOff>
                  </from>
                  <to>
                    <xdr:col>2</xdr:col>
                    <xdr:colOff>285750</xdr:colOff>
                    <xdr:row>113</xdr:row>
                    <xdr:rowOff>190500</xdr:rowOff>
                  </to>
                </anchor>
              </controlPr>
            </control>
          </mc:Choice>
        </mc:AlternateContent>
        <mc:AlternateContent xmlns:mc="http://schemas.openxmlformats.org/markup-compatibility/2006">
          <mc:Choice Requires="x14">
            <control shapeId="150359" r:id="rId66" name="Drop Down 21335">
              <controlPr defaultSize="0" autoLine="0" autoPict="0">
                <anchor moveWithCells="1">
                  <from>
                    <xdr:col>0</xdr:col>
                    <xdr:colOff>9525</xdr:colOff>
                    <xdr:row>114</xdr:row>
                    <xdr:rowOff>9525</xdr:rowOff>
                  </from>
                  <to>
                    <xdr:col>2</xdr:col>
                    <xdr:colOff>0</xdr:colOff>
                    <xdr:row>115</xdr:row>
                    <xdr:rowOff>0</xdr:rowOff>
                  </to>
                </anchor>
              </controlPr>
            </control>
          </mc:Choice>
        </mc:AlternateContent>
        <mc:AlternateContent xmlns:mc="http://schemas.openxmlformats.org/markup-compatibility/2006">
          <mc:Choice Requires="x14">
            <control shapeId="150360" r:id="rId67" name="Check Box 21336">
              <controlPr locked="0" defaultSize="0" autoFill="0" autoLine="0" autoPict="0">
                <anchor moveWithCells="1">
                  <from>
                    <xdr:col>2</xdr:col>
                    <xdr:colOff>47625</xdr:colOff>
                    <xdr:row>113</xdr:row>
                    <xdr:rowOff>190500</xdr:rowOff>
                  </from>
                  <to>
                    <xdr:col>2</xdr:col>
                    <xdr:colOff>285750</xdr:colOff>
                    <xdr:row>114</xdr:row>
                    <xdr:rowOff>190500</xdr:rowOff>
                  </to>
                </anchor>
              </controlPr>
            </control>
          </mc:Choice>
        </mc:AlternateContent>
        <mc:AlternateContent xmlns:mc="http://schemas.openxmlformats.org/markup-compatibility/2006">
          <mc:Choice Requires="x14">
            <control shapeId="153375" r:id="rId68" name="Drop Down 22303">
              <controlPr defaultSize="0" autoLine="0" autoPict="0">
                <anchor moveWithCells="1">
                  <from>
                    <xdr:col>11</xdr:col>
                    <xdr:colOff>9525</xdr:colOff>
                    <xdr:row>164</xdr:row>
                    <xdr:rowOff>0</xdr:rowOff>
                  </from>
                  <to>
                    <xdr:col>12</xdr:col>
                    <xdr:colOff>428625</xdr:colOff>
                    <xdr:row>164</xdr:row>
                    <xdr:rowOff>228600</xdr:rowOff>
                  </to>
                </anchor>
              </controlPr>
            </control>
          </mc:Choice>
        </mc:AlternateContent>
        <mc:AlternateContent xmlns:mc="http://schemas.openxmlformats.org/markup-compatibility/2006">
          <mc:Choice Requires="x14">
            <control shapeId="153376" r:id="rId69" name="Drop Down 22304">
              <controlPr defaultSize="0" autoLine="0" autoPict="0">
                <anchor moveWithCells="1">
                  <from>
                    <xdr:col>11</xdr:col>
                    <xdr:colOff>9525</xdr:colOff>
                    <xdr:row>165</xdr:row>
                    <xdr:rowOff>0</xdr:rowOff>
                  </from>
                  <to>
                    <xdr:col>12</xdr:col>
                    <xdr:colOff>428625</xdr:colOff>
                    <xdr:row>165</xdr:row>
                    <xdr:rowOff>228600</xdr:rowOff>
                  </to>
                </anchor>
              </controlPr>
            </control>
          </mc:Choice>
        </mc:AlternateContent>
        <mc:AlternateContent xmlns:mc="http://schemas.openxmlformats.org/markup-compatibility/2006">
          <mc:Choice Requires="x14">
            <control shapeId="153378" r:id="rId70" name="Drop Down 22306">
              <controlPr defaultSize="0" autoLine="0" autoPict="0">
                <anchor moveWithCells="1">
                  <from>
                    <xdr:col>11</xdr:col>
                    <xdr:colOff>9525</xdr:colOff>
                    <xdr:row>166</xdr:row>
                    <xdr:rowOff>0</xdr:rowOff>
                  </from>
                  <to>
                    <xdr:col>12</xdr:col>
                    <xdr:colOff>428625</xdr:colOff>
                    <xdr:row>166</xdr:row>
                    <xdr:rowOff>228600</xdr:rowOff>
                  </to>
                </anchor>
              </controlPr>
            </control>
          </mc:Choice>
        </mc:AlternateContent>
        <mc:AlternateContent xmlns:mc="http://schemas.openxmlformats.org/markup-compatibility/2006">
          <mc:Choice Requires="x14">
            <control shapeId="153379" r:id="rId71" name="Drop Down 22307">
              <controlPr defaultSize="0" autoLine="0" autoPict="0">
                <anchor moveWithCells="1">
                  <from>
                    <xdr:col>11</xdr:col>
                    <xdr:colOff>9525</xdr:colOff>
                    <xdr:row>167</xdr:row>
                    <xdr:rowOff>0</xdr:rowOff>
                  </from>
                  <to>
                    <xdr:col>12</xdr:col>
                    <xdr:colOff>428625</xdr:colOff>
                    <xdr:row>167</xdr:row>
                    <xdr:rowOff>228600</xdr:rowOff>
                  </to>
                </anchor>
              </controlPr>
            </control>
          </mc:Choice>
        </mc:AlternateContent>
        <mc:AlternateContent xmlns:mc="http://schemas.openxmlformats.org/markup-compatibility/2006">
          <mc:Choice Requires="x14">
            <control shapeId="154668" r:id="rId72" name="Drop Down 22572">
              <controlPr defaultSize="0" autoLine="0" autoPict="0">
                <anchor moveWithCells="1">
                  <from>
                    <xdr:col>0</xdr:col>
                    <xdr:colOff>0</xdr:colOff>
                    <xdr:row>275</xdr:row>
                    <xdr:rowOff>0</xdr:rowOff>
                  </from>
                  <to>
                    <xdr:col>0</xdr:col>
                    <xdr:colOff>962025</xdr:colOff>
                    <xdr:row>276</xdr:row>
                    <xdr:rowOff>0</xdr:rowOff>
                  </to>
                </anchor>
              </controlPr>
            </control>
          </mc:Choice>
        </mc:AlternateContent>
        <mc:AlternateContent xmlns:mc="http://schemas.openxmlformats.org/markup-compatibility/2006">
          <mc:Choice Requires="x14">
            <control shapeId="154669" r:id="rId73" name="Drop Down 22573">
              <controlPr defaultSize="0" autoLine="0" autoPict="0">
                <anchor moveWithCells="1">
                  <from>
                    <xdr:col>0</xdr:col>
                    <xdr:colOff>0</xdr:colOff>
                    <xdr:row>276</xdr:row>
                    <xdr:rowOff>0</xdr:rowOff>
                  </from>
                  <to>
                    <xdr:col>0</xdr:col>
                    <xdr:colOff>962025</xdr:colOff>
                    <xdr:row>277</xdr:row>
                    <xdr:rowOff>0</xdr:rowOff>
                  </to>
                </anchor>
              </controlPr>
            </control>
          </mc:Choice>
        </mc:AlternateContent>
        <mc:AlternateContent xmlns:mc="http://schemas.openxmlformats.org/markup-compatibility/2006">
          <mc:Choice Requires="x14">
            <control shapeId="154760" r:id="rId74" name="Check Box 22664">
              <controlPr locked="0" defaultSize="0" autoFill="0" autoLine="0" autoPict="0">
                <anchor moveWithCells="1">
                  <from>
                    <xdr:col>2</xdr:col>
                    <xdr:colOff>57150</xdr:colOff>
                    <xdr:row>253</xdr:row>
                    <xdr:rowOff>9525</xdr:rowOff>
                  </from>
                  <to>
                    <xdr:col>2</xdr:col>
                    <xdr:colOff>295275</xdr:colOff>
                    <xdr:row>253</xdr:row>
                    <xdr:rowOff>209550</xdr:rowOff>
                  </to>
                </anchor>
              </controlPr>
            </control>
          </mc:Choice>
        </mc:AlternateContent>
        <mc:AlternateContent xmlns:mc="http://schemas.openxmlformats.org/markup-compatibility/2006">
          <mc:Choice Requires="x14">
            <control shapeId="154806" r:id="rId75" name="Check Box 22710">
              <controlPr locked="0" defaultSize="0" autoFill="0" autoLine="0" autoPict="0">
                <anchor moveWithCells="1">
                  <from>
                    <xdr:col>2</xdr:col>
                    <xdr:colOff>57150</xdr:colOff>
                    <xdr:row>254</xdr:row>
                    <xdr:rowOff>9525</xdr:rowOff>
                  </from>
                  <to>
                    <xdr:col>2</xdr:col>
                    <xdr:colOff>295275</xdr:colOff>
                    <xdr:row>254</xdr:row>
                    <xdr:rowOff>209550</xdr:rowOff>
                  </to>
                </anchor>
              </controlPr>
            </control>
          </mc:Choice>
        </mc:AlternateContent>
        <mc:AlternateContent xmlns:mc="http://schemas.openxmlformats.org/markup-compatibility/2006">
          <mc:Choice Requires="x14">
            <control shapeId="154807" r:id="rId76" name="Check Box 22711">
              <controlPr locked="0" defaultSize="0" autoFill="0" autoLine="0" autoPict="0">
                <anchor moveWithCells="1">
                  <from>
                    <xdr:col>2</xdr:col>
                    <xdr:colOff>57150</xdr:colOff>
                    <xdr:row>255</xdr:row>
                    <xdr:rowOff>9525</xdr:rowOff>
                  </from>
                  <to>
                    <xdr:col>2</xdr:col>
                    <xdr:colOff>295275</xdr:colOff>
                    <xdr:row>255</xdr:row>
                    <xdr:rowOff>209550</xdr:rowOff>
                  </to>
                </anchor>
              </controlPr>
            </control>
          </mc:Choice>
        </mc:AlternateContent>
        <mc:AlternateContent xmlns:mc="http://schemas.openxmlformats.org/markup-compatibility/2006">
          <mc:Choice Requires="x14">
            <control shapeId="154808" r:id="rId77" name="Check Box 22712">
              <controlPr locked="0" defaultSize="0" autoFill="0" autoLine="0" autoPict="0">
                <anchor moveWithCells="1">
                  <from>
                    <xdr:col>2</xdr:col>
                    <xdr:colOff>57150</xdr:colOff>
                    <xdr:row>256</xdr:row>
                    <xdr:rowOff>9525</xdr:rowOff>
                  </from>
                  <to>
                    <xdr:col>2</xdr:col>
                    <xdr:colOff>295275</xdr:colOff>
                    <xdr:row>256</xdr:row>
                    <xdr:rowOff>209550</xdr:rowOff>
                  </to>
                </anchor>
              </controlPr>
            </control>
          </mc:Choice>
        </mc:AlternateContent>
        <mc:AlternateContent xmlns:mc="http://schemas.openxmlformats.org/markup-compatibility/2006">
          <mc:Choice Requires="x14">
            <control shapeId="154809" r:id="rId78" name="Check Box 22713">
              <controlPr locked="0" defaultSize="0" autoFill="0" autoLine="0" autoPict="0">
                <anchor moveWithCells="1">
                  <from>
                    <xdr:col>2</xdr:col>
                    <xdr:colOff>57150</xdr:colOff>
                    <xdr:row>257</xdr:row>
                    <xdr:rowOff>9525</xdr:rowOff>
                  </from>
                  <to>
                    <xdr:col>2</xdr:col>
                    <xdr:colOff>295275</xdr:colOff>
                    <xdr:row>257</xdr:row>
                    <xdr:rowOff>209550</xdr:rowOff>
                  </to>
                </anchor>
              </controlPr>
            </control>
          </mc:Choice>
        </mc:AlternateContent>
        <mc:AlternateContent xmlns:mc="http://schemas.openxmlformats.org/markup-compatibility/2006">
          <mc:Choice Requires="x14">
            <control shapeId="154810" r:id="rId79" name="Check Box 22714">
              <controlPr locked="0" defaultSize="0" autoFill="0" autoLine="0" autoPict="0">
                <anchor moveWithCells="1">
                  <from>
                    <xdr:col>2</xdr:col>
                    <xdr:colOff>57150</xdr:colOff>
                    <xdr:row>258</xdr:row>
                    <xdr:rowOff>9525</xdr:rowOff>
                  </from>
                  <to>
                    <xdr:col>2</xdr:col>
                    <xdr:colOff>295275</xdr:colOff>
                    <xdr:row>258</xdr:row>
                    <xdr:rowOff>209550</xdr:rowOff>
                  </to>
                </anchor>
              </controlPr>
            </control>
          </mc:Choice>
        </mc:AlternateContent>
        <mc:AlternateContent xmlns:mc="http://schemas.openxmlformats.org/markup-compatibility/2006">
          <mc:Choice Requires="x14">
            <control shapeId="154811" r:id="rId80" name="Check Box 22715">
              <controlPr locked="0" defaultSize="0" autoFill="0" autoLine="0" autoPict="0">
                <anchor moveWithCells="1">
                  <from>
                    <xdr:col>2</xdr:col>
                    <xdr:colOff>57150</xdr:colOff>
                    <xdr:row>259</xdr:row>
                    <xdr:rowOff>9525</xdr:rowOff>
                  </from>
                  <to>
                    <xdr:col>2</xdr:col>
                    <xdr:colOff>295275</xdr:colOff>
                    <xdr:row>259</xdr:row>
                    <xdr:rowOff>209550</xdr:rowOff>
                  </to>
                </anchor>
              </controlPr>
            </control>
          </mc:Choice>
        </mc:AlternateContent>
        <mc:AlternateContent xmlns:mc="http://schemas.openxmlformats.org/markup-compatibility/2006">
          <mc:Choice Requires="x14">
            <control shapeId="154812" r:id="rId81" name="Check Box 22716">
              <controlPr locked="0" defaultSize="0" autoFill="0" autoLine="0" autoPict="0">
                <anchor moveWithCells="1">
                  <from>
                    <xdr:col>2</xdr:col>
                    <xdr:colOff>57150</xdr:colOff>
                    <xdr:row>262</xdr:row>
                    <xdr:rowOff>9525</xdr:rowOff>
                  </from>
                  <to>
                    <xdr:col>2</xdr:col>
                    <xdr:colOff>295275</xdr:colOff>
                    <xdr:row>262</xdr:row>
                    <xdr:rowOff>209550</xdr:rowOff>
                  </to>
                </anchor>
              </controlPr>
            </control>
          </mc:Choice>
        </mc:AlternateContent>
        <mc:AlternateContent xmlns:mc="http://schemas.openxmlformats.org/markup-compatibility/2006">
          <mc:Choice Requires="x14">
            <control shapeId="154813" r:id="rId82" name="Check Box 22717">
              <controlPr locked="0" defaultSize="0" autoFill="0" autoLine="0" autoPict="0">
                <anchor moveWithCells="1">
                  <from>
                    <xdr:col>2</xdr:col>
                    <xdr:colOff>57150</xdr:colOff>
                    <xdr:row>263</xdr:row>
                    <xdr:rowOff>9525</xdr:rowOff>
                  </from>
                  <to>
                    <xdr:col>2</xdr:col>
                    <xdr:colOff>295275</xdr:colOff>
                    <xdr:row>263</xdr:row>
                    <xdr:rowOff>209550</xdr:rowOff>
                  </to>
                </anchor>
              </controlPr>
            </control>
          </mc:Choice>
        </mc:AlternateContent>
        <mc:AlternateContent xmlns:mc="http://schemas.openxmlformats.org/markup-compatibility/2006">
          <mc:Choice Requires="x14">
            <control shapeId="154814" r:id="rId83" name="Check Box 22718">
              <controlPr locked="0" defaultSize="0" autoFill="0" autoLine="0" autoPict="0">
                <anchor moveWithCells="1">
                  <from>
                    <xdr:col>2</xdr:col>
                    <xdr:colOff>57150</xdr:colOff>
                    <xdr:row>264</xdr:row>
                    <xdr:rowOff>9525</xdr:rowOff>
                  </from>
                  <to>
                    <xdr:col>2</xdr:col>
                    <xdr:colOff>295275</xdr:colOff>
                    <xdr:row>264</xdr:row>
                    <xdr:rowOff>209550</xdr:rowOff>
                  </to>
                </anchor>
              </controlPr>
            </control>
          </mc:Choice>
        </mc:AlternateContent>
        <mc:AlternateContent xmlns:mc="http://schemas.openxmlformats.org/markup-compatibility/2006">
          <mc:Choice Requires="x14">
            <control shapeId="154815" r:id="rId84" name="Check Box 22719">
              <controlPr locked="0" defaultSize="0" autoFill="0" autoLine="0" autoPict="0">
                <anchor moveWithCells="1">
                  <from>
                    <xdr:col>2</xdr:col>
                    <xdr:colOff>57150</xdr:colOff>
                    <xdr:row>265</xdr:row>
                    <xdr:rowOff>9525</xdr:rowOff>
                  </from>
                  <to>
                    <xdr:col>2</xdr:col>
                    <xdr:colOff>295275</xdr:colOff>
                    <xdr:row>265</xdr:row>
                    <xdr:rowOff>209550</xdr:rowOff>
                  </to>
                </anchor>
              </controlPr>
            </control>
          </mc:Choice>
        </mc:AlternateContent>
        <mc:AlternateContent xmlns:mc="http://schemas.openxmlformats.org/markup-compatibility/2006">
          <mc:Choice Requires="x14">
            <control shapeId="157041" r:id="rId85" name="Drop Down 23921">
              <controlPr defaultSize="0" autoLine="0" autoPict="0">
                <anchor moveWithCells="1">
                  <from>
                    <xdr:col>6</xdr:col>
                    <xdr:colOff>19050</xdr:colOff>
                    <xdr:row>83</xdr:row>
                    <xdr:rowOff>28575</xdr:rowOff>
                  </from>
                  <to>
                    <xdr:col>6</xdr:col>
                    <xdr:colOff>495300</xdr:colOff>
                    <xdr:row>83</xdr:row>
                    <xdr:rowOff>209550</xdr:rowOff>
                  </to>
                </anchor>
              </controlPr>
            </control>
          </mc:Choice>
        </mc:AlternateContent>
        <mc:AlternateContent xmlns:mc="http://schemas.openxmlformats.org/markup-compatibility/2006">
          <mc:Choice Requires="x14">
            <control shapeId="157042" r:id="rId86" name="Check Box 23922">
              <controlPr defaultSize="0" autoFill="0" autoLine="0" autoPict="0">
                <anchor moveWithCells="1">
                  <from>
                    <xdr:col>12</xdr:col>
                    <xdr:colOff>114300</xdr:colOff>
                    <xdr:row>83</xdr:row>
                    <xdr:rowOff>0</xdr:rowOff>
                  </from>
                  <to>
                    <xdr:col>12</xdr:col>
                    <xdr:colOff>352425</xdr:colOff>
                    <xdr:row>83</xdr:row>
                    <xdr:rowOff>200025</xdr:rowOff>
                  </to>
                </anchor>
              </controlPr>
            </control>
          </mc:Choice>
        </mc:AlternateContent>
        <mc:AlternateContent xmlns:mc="http://schemas.openxmlformats.org/markup-compatibility/2006">
          <mc:Choice Requires="x14">
            <control shapeId="157043" r:id="rId87" name="Drop Down 23923">
              <controlPr defaultSize="0" autoLine="0" autoPict="0">
                <anchor moveWithCells="1">
                  <from>
                    <xdr:col>6</xdr:col>
                    <xdr:colOff>19050</xdr:colOff>
                    <xdr:row>84</xdr:row>
                    <xdr:rowOff>0</xdr:rowOff>
                  </from>
                  <to>
                    <xdr:col>6</xdr:col>
                    <xdr:colOff>495300</xdr:colOff>
                    <xdr:row>84</xdr:row>
                    <xdr:rowOff>209550</xdr:rowOff>
                  </to>
                </anchor>
              </controlPr>
            </control>
          </mc:Choice>
        </mc:AlternateContent>
        <mc:AlternateContent xmlns:mc="http://schemas.openxmlformats.org/markup-compatibility/2006">
          <mc:Choice Requires="x14">
            <control shapeId="157044" r:id="rId88" name="Check Box 23924">
              <controlPr locked="0" defaultSize="0" autoFill="0" autoLine="0" autoPict="0">
                <anchor moveWithCells="1">
                  <from>
                    <xdr:col>12</xdr:col>
                    <xdr:colOff>114300</xdr:colOff>
                    <xdr:row>84</xdr:row>
                    <xdr:rowOff>0</xdr:rowOff>
                  </from>
                  <to>
                    <xdr:col>12</xdr:col>
                    <xdr:colOff>352425</xdr:colOff>
                    <xdr:row>84</xdr:row>
                    <xdr:rowOff>200025</xdr:rowOff>
                  </to>
                </anchor>
              </controlPr>
            </control>
          </mc:Choice>
        </mc:AlternateContent>
        <mc:AlternateContent xmlns:mc="http://schemas.openxmlformats.org/markup-compatibility/2006">
          <mc:Choice Requires="x14">
            <control shapeId="157045" r:id="rId89" name="Drop Down 23925">
              <controlPr defaultSize="0" autoLine="0" autoPict="0">
                <anchor moveWithCells="1">
                  <from>
                    <xdr:col>0</xdr:col>
                    <xdr:colOff>9525</xdr:colOff>
                    <xdr:row>75</xdr:row>
                    <xdr:rowOff>228600</xdr:rowOff>
                  </from>
                  <to>
                    <xdr:col>3</xdr:col>
                    <xdr:colOff>485775</xdr:colOff>
                    <xdr:row>76</xdr:row>
                    <xdr:rowOff>219075</xdr:rowOff>
                  </to>
                </anchor>
              </controlPr>
            </control>
          </mc:Choice>
        </mc:AlternateContent>
        <mc:AlternateContent xmlns:mc="http://schemas.openxmlformats.org/markup-compatibility/2006">
          <mc:Choice Requires="x14">
            <control shapeId="157046" r:id="rId90" name="Drop Down 23926">
              <controlPr defaultSize="0" autoLine="0" autoPict="0">
                <anchor moveWithCells="1">
                  <from>
                    <xdr:col>6</xdr:col>
                    <xdr:colOff>9525</xdr:colOff>
                    <xdr:row>76</xdr:row>
                    <xdr:rowOff>28575</xdr:rowOff>
                  </from>
                  <to>
                    <xdr:col>6</xdr:col>
                    <xdr:colOff>485775</xdr:colOff>
                    <xdr:row>77</xdr:row>
                    <xdr:rowOff>9525</xdr:rowOff>
                  </to>
                </anchor>
              </controlPr>
            </control>
          </mc:Choice>
        </mc:AlternateContent>
        <mc:AlternateContent xmlns:mc="http://schemas.openxmlformats.org/markup-compatibility/2006">
          <mc:Choice Requires="x14">
            <control shapeId="157047" r:id="rId91" name="Check Box 23927">
              <controlPr locked="0" defaultSize="0" autoFill="0" autoLine="0" autoPict="0">
                <anchor moveWithCells="1">
                  <from>
                    <xdr:col>12</xdr:col>
                    <xdr:colOff>114300</xdr:colOff>
                    <xdr:row>76</xdr:row>
                    <xdr:rowOff>0</xdr:rowOff>
                  </from>
                  <to>
                    <xdr:col>12</xdr:col>
                    <xdr:colOff>352425</xdr:colOff>
                    <xdr:row>76</xdr:row>
                    <xdr:rowOff>200025</xdr:rowOff>
                  </to>
                </anchor>
              </controlPr>
            </control>
          </mc:Choice>
        </mc:AlternateContent>
        <mc:AlternateContent xmlns:mc="http://schemas.openxmlformats.org/markup-compatibility/2006">
          <mc:Choice Requires="x14">
            <control shapeId="157048" r:id="rId92" name="Drop Down 23928">
              <controlPr defaultSize="0" autoLine="0" autoPict="0">
                <anchor moveWithCells="1">
                  <from>
                    <xdr:col>0</xdr:col>
                    <xdr:colOff>9525</xdr:colOff>
                    <xdr:row>77</xdr:row>
                    <xdr:rowOff>9525</xdr:rowOff>
                  </from>
                  <to>
                    <xdr:col>3</xdr:col>
                    <xdr:colOff>485775</xdr:colOff>
                    <xdr:row>77</xdr:row>
                    <xdr:rowOff>219075</xdr:rowOff>
                  </to>
                </anchor>
              </controlPr>
            </control>
          </mc:Choice>
        </mc:AlternateContent>
        <mc:AlternateContent xmlns:mc="http://schemas.openxmlformats.org/markup-compatibility/2006">
          <mc:Choice Requires="x14">
            <control shapeId="157049" r:id="rId93" name="Drop Down 23929">
              <controlPr defaultSize="0" autoLine="0" autoPict="0">
                <anchor moveWithCells="1">
                  <from>
                    <xdr:col>6</xdr:col>
                    <xdr:colOff>9525</xdr:colOff>
                    <xdr:row>77</xdr:row>
                    <xdr:rowOff>28575</xdr:rowOff>
                  </from>
                  <to>
                    <xdr:col>6</xdr:col>
                    <xdr:colOff>485775</xdr:colOff>
                    <xdr:row>78</xdr:row>
                    <xdr:rowOff>9525</xdr:rowOff>
                  </to>
                </anchor>
              </controlPr>
            </control>
          </mc:Choice>
        </mc:AlternateContent>
        <mc:AlternateContent xmlns:mc="http://schemas.openxmlformats.org/markup-compatibility/2006">
          <mc:Choice Requires="x14">
            <control shapeId="157050" r:id="rId94" name="Check Box 23930">
              <controlPr locked="0" defaultSize="0" autoFill="0" autoLine="0" autoPict="0">
                <anchor moveWithCells="1">
                  <from>
                    <xdr:col>12</xdr:col>
                    <xdr:colOff>114300</xdr:colOff>
                    <xdr:row>77</xdr:row>
                    <xdr:rowOff>0</xdr:rowOff>
                  </from>
                  <to>
                    <xdr:col>12</xdr:col>
                    <xdr:colOff>352425</xdr:colOff>
                    <xdr:row>77</xdr:row>
                    <xdr:rowOff>200025</xdr:rowOff>
                  </to>
                </anchor>
              </controlPr>
            </control>
          </mc:Choice>
        </mc:AlternateContent>
        <mc:AlternateContent xmlns:mc="http://schemas.openxmlformats.org/markup-compatibility/2006">
          <mc:Choice Requires="x14">
            <control shapeId="157096" r:id="rId95" name="Drop Down 23976">
              <controlPr defaultSize="0" autoLine="0" autoPict="0">
                <anchor moveWithCells="1">
                  <from>
                    <xdr:col>6</xdr:col>
                    <xdr:colOff>19050</xdr:colOff>
                    <xdr:row>82</xdr:row>
                    <xdr:rowOff>219075</xdr:rowOff>
                  </from>
                  <to>
                    <xdr:col>6</xdr:col>
                    <xdr:colOff>495300</xdr:colOff>
                    <xdr:row>83</xdr:row>
                    <xdr:rowOff>200025</xdr:rowOff>
                  </to>
                </anchor>
              </controlPr>
            </control>
          </mc:Choice>
        </mc:AlternateContent>
        <mc:AlternateContent xmlns:mc="http://schemas.openxmlformats.org/markup-compatibility/2006">
          <mc:Choice Requires="x14">
            <control shapeId="157097" r:id="rId96" name="Check Box 23977">
              <controlPr locked="0" defaultSize="0" autoFill="0" autoLine="0" autoPict="0">
                <anchor moveWithCells="1">
                  <from>
                    <xdr:col>12</xdr:col>
                    <xdr:colOff>114300</xdr:colOff>
                    <xdr:row>83</xdr:row>
                    <xdr:rowOff>0</xdr:rowOff>
                  </from>
                  <to>
                    <xdr:col>12</xdr:col>
                    <xdr:colOff>352425</xdr:colOff>
                    <xdr:row>83</xdr:row>
                    <xdr:rowOff>200025</xdr:rowOff>
                  </to>
                </anchor>
              </controlPr>
            </control>
          </mc:Choice>
        </mc:AlternateContent>
        <mc:AlternateContent xmlns:mc="http://schemas.openxmlformats.org/markup-compatibility/2006">
          <mc:Choice Requires="x14">
            <control shapeId="157098" r:id="rId97" name="Drop Down 23978">
              <controlPr defaultSize="0" autoLine="0" autoPict="0">
                <anchor moveWithCells="1">
                  <from>
                    <xdr:col>0</xdr:col>
                    <xdr:colOff>9525</xdr:colOff>
                    <xdr:row>115</xdr:row>
                    <xdr:rowOff>9525</xdr:rowOff>
                  </from>
                  <to>
                    <xdr:col>2</xdr:col>
                    <xdr:colOff>0</xdr:colOff>
                    <xdr:row>115</xdr:row>
                    <xdr:rowOff>200025</xdr:rowOff>
                  </to>
                </anchor>
              </controlPr>
            </control>
          </mc:Choice>
        </mc:AlternateContent>
        <mc:AlternateContent xmlns:mc="http://schemas.openxmlformats.org/markup-compatibility/2006">
          <mc:Choice Requires="x14">
            <control shapeId="157099" r:id="rId98" name="Check Box 23979">
              <controlPr locked="0" defaultSize="0" autoFill="0" autoLine="0" autoPict="0">
                <anchor moveWithCells="1">
                  <from>
                    <xdr:col>2</xdr:col>
                    <xdr:colOff>47625</xdr:colOff>
                    <xdr:row>114</xdr:row>
                    <xdr:rowOff>190500</xdr:rowOff>
                  </from>
                  <to>
                    <xdr:col>2</xdr:col>
                    <xdr:colOff>285750</xdr:colOff>
                    <xdr:row>115</xdr:row>
                    <xdr:rowOff>190500</xdr:rowOff>
                  </to>
                </anchor>
              </controlPr>
            </control>
          </mc:Choice>
        </mc:AlternateContent>
        <mc:AlternateContent xmlns:mc="http://schemas.openxmlformats.org/markup-compatibility/2006">
          <mc:Choice Requires="x14">
            <control shapeId="157100" r:id="rId99" name="Drop Down 23980">
              <controlPr defaultSize="0" autoLine="0" autoPict="0">
                <anchor moveWithCells="1">
                  <from>
                    <xdr:col>0</xdr:col>
                    <xdr:colOff>9525</xdr:colOff>
                    <xdr:row>116</xdr:row>
                    <xdr:rowOff>9525</xdr:rowOff>
                  </from>
                  <to>
                    <xdr:col>2</xdr:col>
                    <xdr:colOff>0</xdr:colOff>
                    <xdr:row>117</xdr:row>
                    <xdr:rowOff>0</xdr:rowOff>
                  </to>
                </anchor>
              </controlPr>
            </control>
          </mc:Choice>
        </mc:AlternateContent>
        <mc:AlternateContent xmlns:mc="http://schemas.openxmlformats.org/markup-compatibility/2006">
          <mc:Choice Requires="x14">
            <control shapeId="157101" r:id="rId100" name="Check Box 23981">
              <controlPr locked="0" defaultSize="0" autoFill="0" autoLine="0" autoPict="0">
                <anchor moveWithCells="1">
                  <from>
                    <xdr:col>2</xdr:col>
                    <xdr:colOff>47625</xdr:colOff>
                    <xdr:row>115</xdr:row>
                    <xdr:rowOff>190500</xdr:rowOff>
                  </from>
                  <to>
                    <xdr:col>2</xdr:col>
                    <xdr:colOff>285750</xdr:colOff>
                    <xdr:row>116</xdr:row>
                    <xdr:rowOff>190500</xdr:rowOff>
                  </to>
                </anchor>
              </controlPr>
            </control>
          </mc:Choice>
        </mc:AlternateContent>
        <mc:AlternateContent xmlns:mc="http://schemas.openxmlformats.org/markup-compatibility/2006">
          <mc:Choice Requires="x14">
            <control shapeId="157102" r:id="rId101" name="Check Box 23982">
              <controlPr defaultSize="0" autoFill="0" autoLine="0" autoPict="0">
                <anchor moveWithCells="1">
                  <from>
                    <xdr:col>2</xdr:col>
                    <xdr:colOff>47625</xdr:colOff>
                    <xdr:row>116</xdr:row>
                    <xdr:rowOff>190500</xdr:rowOff>
                  </from>
                  <to>
                    <xdr:col>2</xdr:col>
                    <xdr:colOff>285750</xdr:colOff>
                    <xdr:row>117</xdr:row>
                    <xdr:rowOff>190500</xdr:rowOff>
                  </to>
                </anchor>
              </controlPr>
            </control>
          </mc:Choice>
        </mc:AlternateContent>
        <mc:AlternateContent xmlns:mc="http://schemas.openxmlformats.org/markup-compatibility/2006">
          <mc:Choice Requires="x14">
            <control shapeId="157103" r:id="rId102" name="Drop Down 23983">
              <controlPr defaultSize="0" autoLine="0" autoPict="0">
                <anchor moveWithCells="1">
                  <from>
                    <xdr:col>0</xdr:col>
                    <xdr:colOff>9525</xdr:colOff>
                    <xdr:row>117</xdr:row>
                    <xdr:rowOff>9525</xdr:rowOff>
                  </from>
                  <to>
                    <xdr:col>2</xdr:col>
                    <xdr:colOff>0</xdr:colOff>
                    <xdr:row>118</xdr:row>
                    <xdr:rowOff>0</xdr:rowOff>
                  </to>
                </anchor>
              </controlPr>
            </control>
          </mc:Choice>
        </mc:AlternateContent>
        <mc:AlternateContent xmlns:mc="http://schemas.openxmlformats.org/markup-compatibility/2006">
          <mc:Choice Requires="x14">
            <control shapeId="157104" r:id="rId103" name="Check Box 23984">
              <controlPr locked="0" defaultSize="0" autoFill="0" autoLine="0" autoPict="0">
                <anchor moveWithCells="1">
                  <from>
                    <xdr:col>2</xdr:col>
                    <xdr:colOff>47625</xdr:colOff>
                    <xdr:row>116</xdr:row>
                    <xdr:rowOff>190500</xdr:rowOff>
                  </from>
                  <to>
                    <xdr:col>2</xdr:col>
                    <xdr:colOff>285750</xdr:colOff>
                    <xdr:row>117</xdr:row>
                    <xdr:rowOff>190500</xdr:rowOff>
                  </to>
                </anchor>
              </controlPr>
            </control>
          </mc:Choice>
        </mc:AlternateContent>
        <mc:AlternateContent xmlns:mc="http://schemas.openxmlformats.org/markup-compatibility/2006">
          <mc:Choice Requires="x14">
            <control shapeId="157105" r:id="rId104" name="Check Box 23985">
              <controlPr defaultSize="0" autoFill="0" autoLine="0" autoPict="0">
                <anchor moveWithCells="1">
                  <from>
                    <xdr:col>2</xdr:col>
                    <xdr:colOff>47625</xdr:colOff>
                    <xdr:row>117</xdr:row>
                    <xdr:rowOff>190500</xdr:rowOff>
                  </from>
                  <to>
                    <xdr:col>2</xdr:col>
                    <xdr:colOff>285750</xdr:colOff>
                    <xdr:row>118</xdr:row>
                    <xdr:rowOff>190500</xdr:rowOff>
                  </to>
                </anchor>
              </controlPr>
            </control>
          </mc:Choice>
        </mc:AlternateContent>
        <mc:AlternateContent xmlns:mc="http://schemas.openxmlformats.org/markup-compatibility/2006">
          <mc:Choice Requires="x14">
            <control shapeId="157106" r:id="rId105" name="Drop Down 23986">
              <controlPr defaultSize="0" autoLine="0" autoPict="0">
                <anchor moveWithCells="1">
                  <from>
                    <xdr:col>0</xdr:col>
                    <xdr:colOff>9525</xdr:colOff>
                    <xdr:row>118</xdr:row>
                    <xdr:rowOff>9525</xdr:rowOff>
                  </from>
                  <to>
                    <xdr:col>2</xdr:col>
                    <xdr:colOff>0</xdr:colOff>
                    <xdr:row>118</xdr:row>
                    <xdr:rowOff>200025</xdr:rowOff>
                  </to>
                </anchor>
              </controlPr>
            </control>
          </mc:Choice>
        </mc:AlternateContent>
        <mc:AlternateContent xmlns:mc="http://schemas.openxmlformats.org/markup-compatibility/2006">
          <mc:Choice Requires="x14">
            <control shapeId="157107" r:id="rId106" name="Check Box 23987">
              <controlPr locked="0" defaultSize="0" autoFill="0" autoLine="0" autoPict="0">
                <anchor moveWithCells="1">
                  <from>
                    <xdr:col>2</xdr:col>
                    <xdr:colOff>47625</xdr:colOff>
                    <xdr:row>117</xdr:row>
                    <xdr:rowOff>190500</xdr:rowOff>
                  </from>
                  <to>
                    <xdr:col>2</xdr:col>
                    <xdr:colOff>285750</xdr:colOff>
                    <xdr:row>118</xdr:row>
                    <xdr:rowOff>190500</xdr:rowOff>
                  </to>
                </anchor>
              </controlPr>
            </control>
          </mc:Choice>
        </mc:AlternateContent>
        <mc:AlternateContent xmlns:mc="http://schemas.openxmlformats.org/markup-compatibility/2006">
          <mc:Choice Requires="x14">
            <control shapeId="157108" r:id="rId107" name="Check Box 23988">
              <controlPr defaultSize="0" autoFill="0" autoLine="0" autoPict="0">
                <anchor moveWithCells="1">
                  <from>
                    <xdr:col>2</xdr:col>
                    <xdr:colOff>47625</xdr:colOff>
                    <xdr:row>118</xdr:row>
                    <xdr:rowOff>190500</xdr:rowOff>
                  </from>
                  <to>
                    <xdr:col>2</xdr:col>
                    <xdr:colOff>285750</xdr:colOff>
                    <xdr:row>119</xdr:row>
                    <xdr:rowOff>190500</xdr:rowOff>
                  </to>
                </anchor>
              </controlPr>
            </control>
          </mc:Choice>
        </mc:AlternateContent>
        <mc:AlternateContent xmlns:mc="http://schemas.openxmlformats.org/markup-compatibility/2006">
          <mc:Choice Requires="x14">
            <control shapeId="157109" r:id="rId108" name="Drop Down 23989">
              <controlPr defaultSize="0" autoLine="0" autoPict="0">
                <anchor moveWithCells="1">
                  <from>
                    <xdr:col>0</xdr:col>
                    <xdr:colOff>9525</xdr:colOff>
                    <xdr:row>119</xdr:row>
                    <xdr:rowOff>9525</xdr:rowOff>
                  </from>
                  <to>
                    <xdr:col>2</xdr:col>
                    <xdr:colOff>0</xdr:colOff>
                    <xdr:row>120</xdr:row>
                    <xdr:rowOff>0</xdr:rowOff>
                  </to>
                </anchor>
              </controlPr>
            </control>
          </mc:Choice>
        </mc:AlternateContent>
        <mc:AlternateContent xmlns:mc="http://schemas.openxmlformats.org/markup-compatibility/2006">
          <mc:Choice Requires="x14">
            <control shapeId="157110" r:id="rId109" name="Check Box 23990">
              <controlPr locked="0" defaultSize="0" autoFill="0" autoLine="0" autoPict="0">
                <anchor moveWithCells="1">
                  <from>
                    <xdr:col>2</xdr:col>
                    <xdr:colOff>47625</xdr:colOff>
                    <xdr:row>118</xdr:row>
                    <xdr:rowOff>190500</xdr:rowOff>
                  </from>
                  <to>
                    <xdr:col>2</xdr:col>
                    <xdr:colOff>285750</xdr:colOff>
                    <xdr:row>119</xdr:row>
                    <xdr:rowOff>190500</xdr:rowOff>
                  </to>
                </anchor>
              </controlPr>
            </control>
          </mc:Choice>
        </mc:AlternateContent>
        <mc:AlternateContent xmlns:mc="http://schemas.openxmlformats.org/markup-compatibility/2006">
          <mc:Choice Requires="x14">
            <control shapeId="157111" r:id="rId110" name="Check Box 23991">
              <controlPr defaultSize="0" autoFill="0" autoLine="0" autoPict="0">
                <anchor moveWithCells="1">
                  <from>
                    <xdr:col>2</xdr:col>
                    <xdr:colOff>47625</xdr:colOff>
                    <xdr:row>119</xdr:row>
                    <xdr:rowOff>190500</xdr:rowOff>
                  </from>
                  <to>
                    <xdr:col>2</xdr:col>
                    <xdr:colOff>285750</xdr:colOff>
                    <xdr:row>120</xdr:row>
                    <xdr:rowOff>190500</xdr:rowOff>
                  </to>
                </anchor>
              </controlPr>
            </control>
          </mc:Choice>
        </mc:AlternateContent>
        <mc:AlternateContent xmlns:mc="http://schemas.openxmlformats.org/markup-compatibility/2006">
          <mc:Choice Requires="x14">
            <control shapeId="157112" r:id="rId111" name="Drop Down 23992">
              <controlPr defaultSize="0" autoLine="0" autoPict="0">
                <anchor moveWithCells="1">
                  <from>
                    <xdr:col>0</xdr:col>
                    <xdr:colOff>9525</xdr:colOff>
                    <xdr:row>120</xdr:row>
                    <xdr:rowOff>9525</xdr:rowOff>
                  </from>
                  <to>
                    <xdr:col>2</xdr:col>
                    <xdr:colOff>0</xdr:colOff>
                    <xdr:row>121</xdr:row>
                    <xdr:rowOff>0</xdr:rowOff>
                  </to>
                </anchor>
              </controlPr>
            </control>
          </mc:Choice>
        </mc:AlternateContent>
        <mc:AlternateContent xmlns:mc="http://schemas.openxmlformats.org/markup-compatibility/2006">
          <mc:Choice Requires="x14">
            <control shapeId="157113" r:id="rId112" name="Check Box 23993">
              <controlPr locked="0" defaultSize="0" autoFill="0" autoLine="0" autoPict="0">
                <anchor moveWithCells="1">
                  <from>
                    <xdr:col>2</xdr:col>
                    <xdr:colOff>47625</xdr:colOff>
                    <xdr:row>119</xdr:row>
                    <xdr:rowOff>190500</xdr:rowOff>
                  </from>
                  <to>
                    <xdr:col>2</xdr:col>
                    <xdr:colOff>285750</xdr:colOff>
                    <xdr:row>120</xdr:row>
                    <xdr:rowOff>190500</xdr:rowOff>
                  </to>
                </anchor>
              </controlPr>
            </control>
          </mc:Choice>
        </mc:AlternateContent>
        <mc:AlternateContent xmlns:mc="http://schemas.openxmlformats.org/markup-compatibility/2006">
          <mc:Choice Requires="x14">
            <control shapeId="157114" r:id="rId113" name="Check Box 23994">
              <controlPr defaultSize="0" autoFill="0" autoLine="0" autoPict="0">
                <anchor moveWithCells="1">
                  <from>
                    <xdr:col>2</xdr:col>
                    <xdr:colOff>47625</xdr:colOff>
                    <xdr:row>120</xdr:row>
                    <xdr:rowOff>190500</xdr:rowOff>
                  </from>
                  <to>
                    <xdr:col>2</xdr:col>
                    <xdr:colOff>285750</xdr:colOff>
                    <xdr:row>121</xdr:row>
                    <xdr:rowOff>190500</xdr:rowOff>
                  </to>
                </anchor>
              </controlPr>
            </control>
          </mc:Choice>
        </mc:AlternateContent>
        <mc:AlternateContent xmlns:mc="http://schemas.openxmlformats.org/markup-compatibility/2006">
          <mc:Choice Requires="x14">
            <control shapeId="157115" r:id="rId114" name="Drop Down 23995">
              <controlPr defaultSize="0" autoLine="0" autoPict="0">
                <anchor moveWithCells="1">
                  <from>
                    <xdr:col>0</xdr:col>
                    <xdr:colOff>9525</xdr:colOff>
                    <xdr:row>121</xdr:row>
                    <xdr:rowOff>9525</xdr:rowOff>
                  </from>
                  <to>
                    <xdr:col>2</xdr:col>
                    <xdr:colOff>0</xdr:colOff>
                    <xdr:row>121</xdr:row>
                    <xdr:rowOff>200025</xdr:rowOff>
                  </to>
                </anchor>
              </controlPr>
            </control>
          </mc:Choice>
        </mc:AlternateContent>
        <mc:AlternateContent xmlns:mc="http://schemas.openxmlformats.org/markup-compatibility/2006">
          <mc:Choice Requires="x14">
            <control shapeId="157116" r:id="rId115" name="Check Box 23996">
              <controlPr locked="0" defaultSize="0" autoFill="0" autoLine="0" autoPict="0">
                <anchor moveWithCells="1">
                  <from>
                    <xdr:col>2</xdr:col>
                    <xdr:colOff>47625</xdr:colOff>
                    <xdr:row>120</xdr:row>
                    <xdr:rowOff>190500</xdr:rowOff>
                  </from>
                  <to>
                    <xdr:col>2</xdr:col>
                    <xdr:colOff>285750</xdr:colOff>
                    <xdr:row>121</xdr:row>
                    <xdr:rowOff>190500</xdr:rowOff>
                  </to>
                </anchor>
              </controlPr>
            </control>
          </mc:Choice>
        </mc:AlternateContent>
        <mc:AlternateContent xmlns:mc="http://schemas.openxmlformats.org/markup-compatibility/2006">
          <mc:Choice Requires="x14">
            <control shapeId="157117" r:id="rId116" name="Check Box 23997">
              <controlPr defaultSize="0" autoFill="0" autoLine="0" autoPict="0">
                <anchor moveWithCells="1">
                  <from>
                    <xdr:col>2</xdr:col>
                    <xdr:colOff>47625</xdr:colOff>
                    <xdr:row>121</xdr:row>
                    <xdr:rowOff>190500</xdr:rowOff>
                  </from>
                  <to>
                    <xdr:col>2</xdr:col>
                    <xdr:colOff>285750</xdr:colOff>
                    <xdr:row>122</xdr:row>
                    <xdr:rowOff>190500</xdr:rowOff>
                  </to>
                </anchor>
              </controlPr>
            </control>
          </mc:Choice>
        </mc:AlternateContent>
        <mc:AlternateContent xmlns:mc="http://schemas.openxmlformats.org/markup-compatibility/2006">
          <mc:Choice Requires="x14">
            <control shapeId="157118" r:id="rId117" name="Drop Down 23998">
              <controlPr defaultSize="0" autoLine="0" autoPict="0">
                <anchor moveWithCells="1">
                  <from>
                    <xdr:col>0</xdr:col>
                    <xdr:colOff>9525</xdr:colOff>
                    <xdr:row>122</xdr:row>
                    <xdr:rowOff>9525</xdr:rowOff>
                  </from>
                  <to>
                    <xdr:col>2</xdr:col>
                    <xdr:colOff>0</xdr:colOff>
                    <xdr:row>123</xdr:row>
                    <xdr:rowOff>0</xdr:rowOff>
                  </to>
                </anchor>
              </controlPr>
            </control>
          </mc:Choice>
        </mc:AlternateContent>
        <mc:AlternateContent xmlns:mc="http://schemas.openxmlformats.org/markup-compatibility/2006">
          <mc:Choice Requires="x14">
            <control shapeId="157119" r:id="rId118" name="Check Box 23999">
              <controlPr locked="0" defaultSize="0" autoFill="0" autoLine="0" autoPict="0">
                <anchor moveWithCells="1">
                  <from>
                    <xdr:col>2</xdr:col>
                    <xdr:colOff>47625</xdr:colOff>
                    <xdr:row>121</xdr:row>
                    <xdr:rowOff>190500</xdr:rowOff>
                  </from>
                  <to>
                    <xdr:col>2</xdr:col>
                    <xdr:colOff>285750</xdr:colOff>
                    <xdr:row>122</xdr:row>
                    <xdr:rowOff>190500</xdr:rowOff>
                  </to>
                </anchor>
              </controlPr>
            </control>
          </mc:Choice>
        </mc:AlternateContent>
        <mc:AlternateContent xmlns:mc="http://schemas.openxmlformats.org/markup-compatibility/2006">
          <mc:Choice Requires="x14">
            <control shapeId="157120" r:id="rId119" name="Check Box 24000">
              <controlPr defaultSize="0" autoFill="0" autoLine="0" autoPict="0">
                <anchor moveWithCells="1">
                  <from>
                    <xdr:col>2</xdr:col>
                    <xdr:colOff>47625</xdr:colOff>
                    <xdr:row>122</xdr:row>
                    <xdr:rowOff>190500</xdr:rowOff>
                  </from>
                  <to>
                    <xdr:col>2</xdr:col>
                    <xdr:colOff>285750</xdr:colOff>
                    <xdr:row>123</xdr:row>
                    <xdr:rowOff>190500</xdr:rowOff>
                  </to>
                </anchor>
              </controlPr>
            </control>
          </mc:Choice>
        </mc:AlternateContent>
        <mc:AlternateContent xmlns:mc="http://schemas.openxmlformats.org/markup-compatibility/2006">
          <mc:Choice Requires="x14">
            <control shapeId="157121" r:id="rId120" name="Drop Down 24001">
              <controlPr defaultSize="0" autoLine="0" autoPict="0">
                <anchor moveWithCells="1">
                  <from>
                    <xdr:col>0</xdr:col>
                    <xdr:colOff>9525</xdr:colOff>
                    <xdr:row>123</xdr:row>
                    <xdr:rowOff>9525</xdr:rowOff>
                  </from>
                  <to>
                    <xdr:col>2</xdr:col>
                    <xdr:colOff>0</xdr:colOff>
                    <xdr:row>124</xdr:row>
                    <xdr:rowOff>0</xdr:rowOff>
                  </to>
                </anchor>
              </controlPr>
            </control>
          </mc:Choice>
        </mc:AlternateContent>
        <mc:AlternateContent xmlns:mc="http://schemas.openxmlformats.org/markup-compatibility/2006">
          <mc:Choice Requires="x14">
            <control shapeId="157122" r:id="rId121" name="Check Box 24002">
              <controlPr locked="0" defaultSize="0" autoFill="0" autoLine="0" autoPict="0">
                <anchor moveWithCells="1">
                  <from>
                    <xdr:col>2</xdr:col>
                    <xdr:colOff>47625</xdr:colOff>
                    <xdr:row>122</xdr:row>
                    <xdr:rowOff>190500</xdr:rowOff>
                  </from>
                  <to>
                    <xdr:col>2</xdr:col>
                    <xdr:colOff>285750</xdr:colOff>
                    <xdr:row>123</xdr:row>
                    <xdr:rowOff>190500</xdr:rowOff>
                  </to>
                </anchor>
              </controlPr>
            </control>
          </mc:Choice>
        </mc:AlternateContent>
        <mc:AlternateContent xmlns:mc="http://schemas.openxmlformats.org/markup-compatibility/2006">
          <mc:Choice Requires="x14">
            <control shapeId="157123" r:id="rId122" name="Check Box 24003">
              <controlPr defaultSize="0" autoFill="0" autoLine="0" autoPict="0">
                <anchor moveWithCells="1">
                  <from>
                    <xdr:col>2</xdr:col>
                    <xdr:colOff>47625</xdr:colOff>
                    <xdr:row>123</xdr:row>
                    <xdr:rowOff>190500</xdr:rowOff>
                  </from>
                  <to>
                    <xdr:col>2</xdr:col>
                    <xdr:colOff>285750</xdr:colOff>
                    <xdr:row>124</xdr:row>
                    <xdr:rowOff>190500</xdr:rowOff>
                  </to>
                </anchor>
              </controlPr>
            </control>
          </mc:Choice>
        </mc:AlternateContent>
        <mc:AlternateContent xmlns:mc="http://schemas.openxmlformats.org/markup-compatibility/2006">
          <mc:Choice Requires="x14">
            <control shapeId="157124" r:id="rId123" name="Drop Down 24004">
              <controlPr defaultSize="0" autoLine="0" autoPict="0">
                <anchor moveWithCells="1">
                  <from>
                    <xdr:col>0</xdr:col>
                    <xdr:colOff>9525</xdr:colOff>
                    <xdr:row>124</xdr:row>
                    <xdr:rowOff>9525</xdr:rowOff>
                  </from>
                  <to>
                    <xdr:col>2</xdr:col>
                    <xdr:colOff>0</xdr:colOff>
                    <xdr:row>124</xdr:row>
                    <xdr:rowOff>200025</xdr:rowOff>
                  </to>
                </anchor>
              </controlPr>
            </control>
          </mc:Choice>
        </mc:AlternateContent>
        <mc:AlternateContent xmlns:mc="http://schemas.openxmlformats.org/markup-compatibility/2006">
          <mc:Choice Requires="x14">
            <control shapeId="157125" r:id="rId124" name="Check Box 24005">
              <controlPr locked="0" defaultSize="0" autoFill="0" autoLine="0" autoPict="0">
                <anchor moveWithCells="1">
                  <from>
                    <xdr:col>2</xdr:col>
                    <xdr:colOff>47625</xdr:colOff>
                    <xdr:row>123</xdr:row>
                    <xdr:rowOff>190500</xdr:rowOff>
                  </from>
                  <to>
                    <xdr:col>2</xdr:col>
                    <xdr:colOff>285750</xdr:colOff>
                    <xdr:row>124</xdr:row>
                    <xdr:rowOff>190500</xdr:rowOff>
                  </to>
                </anchor>
              </controlPr>
            </control>
          </mc:Choice>
        </mc:AlternateContent>
        <mc:AlternateContent xmlns:mc="http://schemas.openxmlformats.org/markup-compatibility/2006">
          <mc:Choice Requires="x14">
            <control shapeId="157126" r:id="rId125" name="Check Box 24006">
              <controlPr defaultSize="0" autoFill="0" autoLine="0" autoPict="0">
                <anchor moveWithCells="1">
                  <from>
                    <xdr:col>2</xdr:col>
                    <xdr:colOff>47625</xdr:colOff>
                    <xdr:row>124</xdr:row>
                    <xdr:rowOff>190500</xdr:rowOff>
                  </from>
                  <to>
                    <xdr:col>2</xdr:col>
                    <xdr:colOff>285750</xdr:colOff>
                    <xdr:row>125</xdr:row>
                    <xdr:rowOff>190500</xdr:rowOff>
                  </to>
                </anchor>
              </controlPr>
            </control>
          </mc:Choice>
        </mc:AlternateContent>
        <mc:AlternateContent xmlns:mc="http://schemas.openxmlformats.org/markup-compatibility/2006">
          <mc:Choice Requires="x14">
            <control shapeId="157127" r:id="rId126" name="Drop Down 24007">
              <controlPr defaultSize="0" autoLine="0" autoPict="0">
                <anchor moveWithCells="1">
                  <from>
                    <xdr:col>0</xdr:col>
                    <xdr:colOff>9525</xdr:colOff>
                    <xdr:row>125</xdr:row>
                    <xdr:rowOff>9525</xdr:rowOff>
                  </from>
                  <to>
                    <xdr:col>2</xdr:col>
                    <xdr:colOff>0</xdr:colOff>
                    <xdr:row>126</xdr:row>
                    <xdr:rowOff>0</xdr:rowOff>
                  </to>
                </anchor>
              </controlPr>
            </control>
          </mc:Choice>
        </mc:AlternateContent>
        <mc:AlternateContent xmlns:mc="http://schemas.openxmlformats.org/markup-compatibility/2006">
          <mc:Choice Requires="x14">
            <control shapeId="157128" r:id="rId127" name="Check Box 24008">
              <controlPr locked="0" defaultSize="0" autoFill="0" autoLine="0" autoPict="0">
                <anchor moveWithCells="1">
                  <from>
                    <xdr:col>2</xdr:col>
                    <xdr:colOff>47625</xdr:colOff>
                    <xdr:row>124</xdr:row>
                    <xdr:rowOff>190500</xdr:rowOff>
                  </from>
                  <to>
                    <xdr:col>2</xdr:col>
                    <xdr:colOff>285750</xdr:colOff>
                    <xdr:row>125</xdr:row>
                    <xdr:rowOff>190500</xdr:rowOff>
                  </to>
                </anchor>
              </controlPr>
            </control>
          </mc:Choice>
        </mc:AlternateContent>
        <mc:AlternateContent xmlns:mc="http://schemas.openxmlformats.org/markup-compatibility/2006">
          <mc:Choice Requires="x14">
            <control shapeId="157129" r:id="rId128" name="Check Box 24009">
              <controlPr defaultSize="0" autoFill="0" autoLine="0" autoPict="0">
                <anchor moveWithCells="1">
                  <from>
                    <xdr:col>2</xdr:col>
                    <xdr:colOff>47625</xdr:colOff>
                    <xdr:row>125</xdr:row>
                    <xdr:rowOff>190500</xdr:rowOff>
                  </from>
                  <to>
                    <xdr:col>2</xdr:col>
                    <xdr:colOff>285750</xdr:colOff>
                    <xdr:row>126</xdr:row>
                    <xdr:rowOff>190500</xdr:rowOff>
                  </to>
                </anchor>
              </controlPr>
            </control>
          </mc:Choice>
        </mc:AlternateContent>
        <mc:AlternateContent xmlns:mc="http://schemas.openxmlformats.org/markup-compatibility/2006">
          <mc:Choice Requires="x14">
            <control shapeId="157130" r:id="rId129" name="Drop Down 24010">
              <controlPr defaultSize="0" autoLine="0" autoPict="0">
                <anchor moveWithCells="1">
                  <from>
                    <xdr:col>0</xdr:col>
                    <xdr:colOff>9525</xdr:colOff>
                    <xdr:row>126</xdr:row>
                    <xdr:rowOff>9525</xdr:rowOff>
                  </from>
                  <to>
                    <xdr:col>2</xdr:col>
                    <xdr:colOff>0</xdr:colOff>
                    <xdr:row>127</xdr:row>
                    <xdr:rowOff>0</xdr:rowOff>
                  </to>
                </anchor>
              </controlPr>
            </control>
          </mc:Choice>
        </mc:AlternateContent>
        <mc:AlternateContent xmlns:mc="http://schemas.openxmlformats.org/markup-compatibility/2006">
          <mc:Choice Requires="x14">
            <control shapeId="157131" r:id="rId130" name="Check Box 24011">
              <controlPr locked="0" defaultSize="0" autoFill="0" autoLine="0" autoPict="0">
                <anchor moveWithCells="1">
                  <from>
                    <xdr:col>2</xdr:col>
                    <xdr:colOff>47625</xdr:colOff>
                    <xdr:row>125</xdr:row>
                    <xdr:rowOff>190500</xdr:rowOff>
                  </from>
                  <to>
                    <xdr:col>2</xdr:col>
                    <xdr:colOff>285750</xdr:colOff>
                    <xdr:row>126</xdr:row>
                    <xdr:rowOff>190500</xdr:rowOff>
                  </to>
                </anchor>
              </controlPr>
            </control>
          </mc:Choice>
        </mc:AlternateContent>
        <mc:AlternateContent xmlns:mc="http://schemas.openxmlformats.org/markup-compatibility/2006">
          <mc:Choice Requires="x14">
            <control shapeId="157132" r:id="rId131" name="Check Box 24012">
              <controlPr defaultSize="0" autoFill="0" autoLine="0" autoPict="0">
                <anchor moveWithCells="1">
                  <from>
                    <xdr:col>2</xdr:col>
                    <xdr:colOff>47625</xdr:colOff>
                    <xdr:row>126</xdr:row>
                    <xdr:rowOff>190500</xdr:rowOff>
                  </from>
                  <to>
                    <xdr:col>2</xdr:col>
                    <xdr:colOff>285750</xdr:colOff>
                    <xdr:row>127</xdr:row>
                    <xdr:rowOff>190500</xdr:rowOff>
                  </to>
                </anchor>
              </controlPr>
            </control>
          </mc:Choice>
        </mc:AlternateContent>
        <mc:AlternateContent xmlns:mc="http://schemas.openxmlformats.org/markup-compatibility/2006">
          <mc:Choice Requires="x14">
            <control shapeId="157133" r:id="rId132" name="Drop Down 24013">
              <controlPr defaultSize="0" autoLine="0" autoPict="0">
                <anchor moveWithCells="1">
                  <from>
                    <xdr:col>0</xdr:col>
                    <xdr:colOff>9525</xdr:colOff>
                    <xdr:row>127</xdr:row>
                    <xdr:rowOff>9525</xdr:rowOff>
                  </from>
                  <to>
                    <xdr:col>2</xdr:col>
                    <xdr:colOff>0</xdr:colOff>
                    <xdr:row>127</xdr:row>
                    <xdr:rowOff>200025</xdr:rowOff>
                  </to>
                </anchor>
              </controlPr>
            </control>
          </mc:Choice>
        </mc:AlternateContent>
        <mc:AlternateContent xmlns:mc="http://schemas.openxmlformats.org/markup-compatibility/2006">
          <mc:Choice Requires="x14">
            <control shapeId="157134" r:id="rId133" name="Check Box 24014">
              <controlPr locked="0" defaultSize="0" autoFill="0" autoLine="0" autoPict="0">
                <anchor moveWithCells="1">
                  <from>
                    <xdr:col>2</xdr:col>
                    <xdr:colOff>47625</xdr:colOff>
                    <xdr:row>126</xdr:row>
                    <xdr:rowOff>190500</xdr:rowOff>
                  </from>
                  <to>
                    <xdr:col>2</xdr:col>
                    <xdr:colOff>285750</xdr:colOff>
                    <xdr:row>127</xdr:row>
                    <xdr:rowOff>190500</xdr:rowOff>
                  </to>
                </anchor>
              </controlPr>
            </control>
          </mc:Choice>
        </mc:AlternateContent>
        <mc:AlternateContent xmlns:mc="http://schemas.openxmlformats.org/markup-compatibility/2006">
          <mc:Choice Requires="x14">
            <control shapeId="157135" r:id="rId134" name="Check Box 24015">
              <controlPr defaultSize="0" autoFill="0" autoLine="0" autoPict="0">
                <anchor moveWithCells="1">
                  <from>
                    <xdr:col>2</xdr:col>
                    <xdr:colOff>47625</xdr:colOff>
                    <xdr:row>127</xdr:row>
                    <xdr:rowOff>190500</xdr:rowOff>
                  </from>
                  <to>
                    <xdr:col>2</xdr:col>
                    <xdr:colOff>285750</xdr:colOff>
                    <xdr:row>128</xdr:row>
                    <xdr:rowOff>190500</xdr:rowOff>
                  </to>
                </anchor>
              </controlPr>
            </control>
          </mc:Choice>
        </mc:AlternateContent>
        <mc:AlternateContent xmlns:mc="http://schemas.openxmlformats.org/markup-compatibility/2006">
          <mc:Choice Requires="x14">
            <control shapeId="157136" r:id="rId135" name="Drop Down 24016">
              <controlPr defaultSize="0" autoLine="0" autoPict="0">
                <anchor moveWithCells="1">
                  <from>
                    <xdr:col>0</xdr:col>
                    <xdr:colOff>9525</xdr:colOff>
                    <xdr:row>128</xdr:row>
                    <xdr:rowOff>9525</xdr:rowOff>
                  </from>
                  <to>
                    <xdr:col>2</xdr:col>
                    <xdr:colOff>0</xdr:colOff>
                    <xdr:row>129</xdr:row>
                    <xdr:rowOff>0</xdr:rowOff>
                  </to>
                </anchor>
              </controlPr>
            </control>
          </mc:Choice>
        </mc:AlternateContent>
        <mc:AlternateContent xmlns:mc="http://schemas.openxmlformats.org/markup-compatibility/2006">
          <mc:Choice Requires="x14">
            <control shapeId="157137" r:id="rId136" name="Check Box 24017">
              <controlPr locked="0" defaultSize="0" autoFill="0" autoLine="0" autoPict="0">
                <anchor moveWithCells="1">
                  <from>
                    <xdr:col>2</xdr:col>
                    <xdr:colOff>47625</xdr:colOff>
                    <xdr:row>127</xdr:row>
                    <xdr:rowOff>190500</xdr:rowOff>
                  </from>
                  <to>
                    <xdr:col>2</xdr:col>
                    <xdr:colOff>285750</xdr:colOff>
                    <xdr:row>128</xdr:row>
                    <xdr:rowOff>190500</xdr:rowOff>
                  </to>
                </anchor>
              </controlPr>
            </control>
          </mc:Choice>
        </mc:AlternateContent>
        <mc:AlternateContent xmlns:mc="http://schemas.openxmlformats.org/markup-compatibility/2006">
          <mc:Choice Requires="x14">
            <control shapeId="157138" r:id="rId137" name="Check Box 24018">
              <controlPr defaultSize="0" autoFill="0" autoLine="0" autoPict="0">
                <anchor moveWithCells="1">
                  <from>
                    <xdr:col>2</xdr:col>
                    <xdr:colOff>47625</xdr:colOff>
                    <xdr:row>128</xdr:row>
                    <xdr:rowOff>190500</xdr:rowOff>
                  </from>
                  <to>
                    <xdr:col>2</xdr:col>
                    <xdr:colOff>285750</xdr:colOff>
                    <xdr:row>129</xdr:row>
                    <xdr:rowOff>190500</xdr:rowOff>
                  </to>
                </anchor>
              </controlPr>
            </control>
          </mc:Choice>
        </mc:AlternateContent>
        <mc:AlternateContent xmlns:mc="http://schemas.openxmlformats.org/markup-compatibility/2006">
          <mc:Choice Requires="x14">
            <control shapeId="157139" r:id="rId138" name="Drop Down 24019">
              <controlPr defaultSize="0" autoLine="0" autoPict="0">
                <anchor moveWithCells="1">
                  <from>
                    <xdr:col>0</xdr:col>
                    <xdr:colOff>9525</xdr:colOff>
                    <xdr:row>129</xdr:row>
                    <xdr:rowOff>0</xdr:rowOff>
                  </from>
                  <to>
                    <xdr:col>2</xdr:col>
                    <xdr:colOff>0</xdr:colOff>
                    <xdr:row>129</xdr:row>
                    <xdr:rowOff>190500</xdr:rowOff>
                  </to>
                </anchor>
              </controlPr>
            </control>
          </mc:Choice>
        </mc:AlternateContent>
        <mc:AlternateContent xmlns:mc="http://schemas.openxmlformats.org/markup-compatibility/2006">
          <mc:Choice Requires="x14">
            <control shapeId="157140" r:id="rId139" name="Check Box 24020">
              <controlPr locked="0" defaultSize="0" autoFill="0" autoLine="0" autoPict="0">
                <anchor moveWithCells="1">
                  <from>
                    <xdr:col>2</xdr:col>
                    <xdr:colOff>47625</xdr:colOff>
                    <xdr:row>128</xdr:row>
                    <xdr:rowOff>190500</xdr:rowOff>
                  </from>
                  <to>
                    <xdr:col>2</xdr:col>
                    <xdr:colOff>285750</xdr:colOff>
                    <xdr:row>129</xdr:row>
                    <xdr:rowOff>190500</xdr:rowOff>
                  </to>
                </anchor>
              </controlPr>
            </control>
          </mc:Choice>
        </mc:AlternateContent>
        <mc:AlternateContent xmlns:mc="http://schemas.openxmlformats.org/markup-compatibility/2006">
          <mc:Choice Requires="x14">
            <control shapeId="157191" r:id="rId140" name="Drop Down 24071">
              <controlPr defaultSize="0" autoLine="0" autoPict="0">
                <anchor moveWithCells="1">
                  <from>
                    <xdr:col>5</xdr:col>
                    <xdr:colOff>9525</xdr:colOff>
                    <xdr:row>137</xdr:row>
                    <xdr:rowOff>9525</xdr:rowOff>
                  </from>
                  <to>
                    <xdr:col>5</xdr:col>
                    <xdr:colOff>485775</xdr:colOff>
                    <xdr:row>138</xdr:row>
                    <xdr:rowOff>0</xdr:rowOff>
                  </to>
                </anchor>
              </controlPr>
            </control>
          </mc:Choice>
        </mc:AlternateContent>
        <mc:AlternateContent xmlns:mc="http://schemas.openxmlformats.org/markup-compatibility/2006">
          <mc:Choice Requires="x14">
            <control shapeId="157192" r:id="rId141" name="Check Box 24072">
              <controlPr locked="0" defaultSize="0" autoFill="0" autoLine="0" autoPict="0">
                <anchor moveWithCells="1">
                  <from>
                    <xdr:col>2</xdr:col>
                    <xdr:colOff>47625</xdr:colOff>
                    <xdr:row>137</xdr:row>
                    <xdr:rowOff>19050</xdr:rowOff>
                  </from>
                  <to>
                    <xdr:col>2</xdr:col>
                    <xdr:colOff>285750</xdr:colOff>
                    <xdr:row>138</xdr:row>
                    <xdr:rowOff>19050</xdr:rowOff>
                  </to>
                </anchor>
              </controlPr>
            </control>
          </mc:Choice>
        </mc:AlternateContent>
        <mc:AlternateContent xmlns:mc="http://schemas.openxmlformats.org/markup-compatibility/2006">
          <mc:Choice Requires="x14">
            <control shapeId="157193" r:id="rId142" name="Drop Down 24073">
              <controlPr defaultSize="0" autoLine="0" autoPict="0">
                <anchor moveWithCells="1">
                  <from>
                    <xdr:col>5</xdr:col>
                    <xdr:colOff>9525</xdr:colOff>
                    <xdr:row>138</xdr:row>
                    <xdr:rowOff>9525</xdr:rowOff>
                  </from>
                  <to>
                    <xdr:col>5</xdr:col>
                    <xdr:colOff>485775</xdr:colOff>
                    <xdr:row>138</xdr:row>
                    <xdr:rowOff>200025</xdr:rowOff>
                  </to>
                </anchor>
              </controlPr>
            </control>
          </mc:Choice>
        </mc:AlternateContent>
        <mc:AlternateContent xmlns:mc="http://schemas.openxmlformats.org/markup-compatibility/2006">
          <mc:Choice Requires="x14">
            <control shapeId="157194" r:id="rId143" name="Check Box 24074">
              <controlPr locked="0" defaultSize="0" autoFill="0" autoLine="0" autoPict="0">
                <anchor moveWithCells="1">
                  <from>
                    <xdr:col>2</xdr:col>
                    <xdr:colOff>47625</xdr:colOff>
                    <xdr:row>138</xdr:row>
                    <xdr:rowOff>19050</xdr:rowOff>
                  </from>
                  <to>
                    <xdr:col>2</xdr:col>
                    <xdr:colOff>285750</xdr:colOff>
                    <xdr:row>139</xdr:row>
                    <xdr:rowOff>19050</xdr:rowOff>
                  </to>
                </anchor>
              </controlPr>
            </control>
          </mc:Choice>
        </mc:AlternateContent>
        <mc:AlternateContent xmlns:mc="http://schemas.openxmlformats.org/markup-compatibility/2006">
          <mc:Choice Requires="x14">
            <control shapeId="157195" r:id="rId144" name="Drop Down 24075">
              <controlPr defaultSize="0" autoLine="0" autoPict="0">
                <anchor moveWithCells="1">
                  <from>
                    <xdr:col>5</xdr:col>
                    <xdr:colOff>9525</xdr:colOff>
                    <xdr:row>139</xdr:row>
                    <xdr:rowOff>9525</xdr:rowOff>
                  </from>
                  <to>
                    <xdr:col>5</xdr:col>
                    <xdr:colOff>485775</xdr:colOff>
                    <xdr:row>140</xdr:row>
                    <xdr:rowOff>0</xdr:rowOff>
                  </to>
                </anchor>
              </controlPr>
            </control>
          </mc:Choice>
        </mc:AlternateContent>
        <mc:AlternateContent xmlns:mc="http://schemas.openxmlformats.org/markup-compatibility/2006">
          <mc:Choice Requires="x14">
            <control shapeId="157196" r:id="rId145" name="Check Box 24076">
              <controlPr locked="0" defaultSize="0" autoFill="0" autoLine="0" autoPict="0">
                <anchor moveWithCells="1">
                  <from>
                    <xdr:col>2</xdr:col>
                    <xdr:colOff>47625</xdr:colOff>
                    <xdr:row>139</xdr:row>
                    <xdr:rowOff>19050</xdr:rowOff>
                  </from>
                  <to>
                    <xdr:col>2</xdr:col>
                    <xdr:colOff>285750</xdr:colOff>
                    <xdr:row>140</xdr:row>
                    <xdr:rowOff>19050</xdr:rowOff>
                  </to>
                </anchor>
              </controlPr>
            </control>
          </mc:Choice>
        </mc:AlternateContent>
        <mc:AlternateContent xmlns:mc="http://schemas.openxmlformats.org/markup-compatibility/2006">
          <mc:Choice Requires="x14">
            <control shapeId="157197" r:id="rId146" name="Drop Down 24077">
              <controlPr defaultSize="0" autoLine="0" autoPict="0">
                <anchor moveWithCells="1">
                  <from>
                    <xdr:col>5</xdr:col>
                    <xdr:colOff>9525</xdr:colOff>
                    <xdr:row>140</xdr:row>
                    <xdr:rowOff>9525</xdr:rowOff>
                  </from>
                  <to>
                    <xdr:col>5</xdr:col>
                    <xdr:colOff>485775</xdr:colOff>
                    <xdr:row>141</xdr:row>
                    <xdr:rowOff>0</xdr:rowOff>
                  </to>
                </anchor>
              </controlPr>
            </control>
          </mc:Choice>
        </mc:AlternateContent>
        <mc:AlternateContent xmlns:mc="http://schemas.openxmlformats.org/markup-compatibility/2006">
          <mc:Choice Requires="x14">
            <control shapeId="157198" r:id="rId147" name="Check Box 24078">
              <controlPr locked="0" defaultSize="0" autoFill="0" autoLine="0" autoPict="0">
                <anchor moveWithCells="1">
                  <from>
                    <xdr:col>2</xdr:col>
                    <xdr:colOff>47625</xdr:colOff>
                    <xdr:row>140</xdr:row>
                    <xdr:rowOff>19050</xdr:rowOff>
                  </from>
                  <to>
                    <xdr:col>2</xdr:col>
                    <xdr:colOff>285750</xdr:colOff>
                    <xdr:row>141</xdr:row>
                    <xdr:rowOff>19050</xdr:rowOff>
                  </to>
                </anchor>
              </controlPr>
            </control>
          </mc:Choice>
        </mc:AlternateContent>
        <mc:AlternateContent xmlns:mc="http://schemas.openxmlformats.org/markup-compatibility/2006">
          <mc:Choice Requires="x14">
            <control shapeId="157199" r:id="rId148" name="Drop Down 24079">
              <controlPr defaultSize="0" autoLine="0" autoPict="0">
                <anchor moveWithCells="1">
                  <from>
                    <xdr:col>5</xdr:col>
                    <xdr:colOff>9525</xdr:colOff>
                    <xdr:row>141</xdr:row>
                    <xdr:rowOff>9525</xdr:rowOff>
                  </from>
                  <to>
                    <xdr:col>5</xdr:col>
                    <xdr:colOff>485775</xdr:colOff>
                    <xdr:row>141</xdr:row>
                    <xdr:rowOff>200025</xdr:rowOff>
                  </to>
                </anchor>
              </controlPr>
            </control>
          </mc:Choice>
        </mc:AlternateContent>
        <mc:AlternateContent xmlns:mc="http://schemas.openxmlformats.org/markup-compatibility/2006">
          <mc:Choice Requires="x14">
            <control shapeId="157200" r:id="rId149" name="Check Box 24080">
              <controlPr locked="0" defaultSize="0" autoFill="0" autoLine="0" autoPict="0">
                <anchor moveWithCells="1">
                  <from>
                    <xdr:col>2</xdr:col>
                    <xdr:colOff>47625</xdr:colOff>
                    <xdr:row>141</xdr:row>
                    <xdr:rowOff>19050</xdr:rowOff>
                  </from>
                  <to>
                    <xdr:col>2</xdr:col>
                    <xdr:colOff>285750</xdr:colOff>
                    <xdr:row>142</xdr:row>
                    <xdr:rowOff>19050</xdr:rowOff>
                  </to>
                </anchor>
              </controlPr>
            </control>
          </mc:Choice>
        </mc:AlternateContent>
        <mc:AlternateContent xmlns:mc="http://schemas.openxmlformats.org/markup-compatibility/2006">
          <mc:Choice Requires="x14">
            <control shapeId="157201" r:id="rId150" name="Drop Down 24081">
              <controlPr defaultSize="0" autoLine="0" autoPict="0">
                <anchor moveWithCells="1">
                  <from>
                    <xdr:col>5</xdr:col>
                    <xdr:colOff>9525</xdr:colOff>
                    <xdr:row>142</xdr:row>
                    <xdr:rowOff>9525</xdr:rowOff>
                  </from>
                  <to>
                    <xdr:col>5</xdr:col>
                    <xdr:colOff>485775</xdr:colOff>
                    <xdr:row>143</xdr:row>
                    <xdr:rowOff>0</xdr:rowOff>
                  </to>
                </anchor>
              </controlPr>
            </control>
          </mc:Choice>
        </mc:AlternateContent>
        <mc:AlternateContent xmlns:mc="http://schemas.openxmlformats.org/markup-compatibility/2006">
          <mc:Choice Requires="x14">
            <control shapeId="157202" r:id="rId151" name="Check Box 24082">
              <controlPr locked="0" defaultSize="0" autoFill="0" autoLine="0" autoPict="0">
                <anchor moveWithCells="1">
                  <from>
                    <xdr:col>2</xdr:col>
                    <xdr:colOff>47625</xdr:colOff>
                    <xdr:row>142</xdr:row>
                    <xdr:rowOff>19050</xdr:rowOff>
                  </from>
                  <to>
                    <xdr:col>2</xdr:col>
                    <xdr:colOff>285750</xdr:colOff>
                    <xdr:row>143</xdr:row>
                    <xdr:rowOff>19050</xdr:rowOff>
                  </to>
                </anchor>
              </controlPr>
            </control>
          </mc:Choice>
        </mc:AlternateContent>
        <mc:AlternateContent xmlns:mc="http://schemas.openxmlformats.org/markup-compatibility/2006">
          <mc:Choice Requires="x14">
            <control shapeId="157203" r:id="rId152" name="Drop Down 24083">
              <controlPr defaultSize="0" autoLine="0" autoPict="0">
                <anchor moveWithCells="1">
                  <from>
                    <xdr:col>5</xdr:col>
                    <xdr:colOff>9525</xdr:colOff>
                    <xdr:row>143</xdr:row>
                    <xdr:rowOff>9525</xdr:rowOff>
                  </from>
                  <to>
                    <xdr:col>5</xdr:col>
                    <xdr:colOff>485775</xdr:colOff>
                    <xdr:row>144</xdr:row>
                    <xdr:rowOff>0</xdr:rowOff>
                  </to>
                </anchor>
              </controlPr>
            </control>
          </mc:Choice>
        </mc:AlternateContent>
        <mc:AlternateContent xmlns:mc="http://schemas.openxmlformats.org/markup-compatibility/2006">
          <mc:Choice Requires="x14">
            <control shapeId="157204" r:id="rId153" name="Check Box 24084">
              <controlPr locked="0" defaultSize="0" autoFill="0" autoLine="0" autoPict="0">
                <anchor moveWithCells="1">
                  <from>
                    <xdr:col>2</xdr:col>
                    <xdr:colOff>47625</xdr:colOff>
                    <xdr:row>143</xdr:row>
                    <xdr:rowOff>19050</xdr:rowOff>
                  </from>
                  <to>
                    <xdr:col>2</xdr:col>
                    <xdr:colOff>285750</xdr:colOff>
                    <xdr:row>144</xdr:row>
                    <xdr:rowOff>19050</xdr:rowOff>
                  </to>
                </anchor>
              </controlPr>
            </control>
          </mc:Choice>
        </mc:AlternateContent>
        <mc:AlternateContent xmlns:mc="http://schemas.openxmlformats.org/markup-compatibility/2006">
          <mc:Choice Requires="x14">
            <control shapeId="157205" r:id="rId154" name="Drop Down 24085">
              <controlPr defaultSize="0" autoLine="0" autoPict="0">
                <anchor moveWithCells="1">
                  <from>
                    <xdr:col>5</xdr:col>
                    <xdr:colOff>9525</xdr:colOff>
                    <xdr:row>144</xdr:row>
                    <xdr:rowOff>9525</xdr:rowOff>
                  </from>
                  <to>
                    <xdr:col>5</xdr:col>
                    <xdr:colOff>485775</xdr:colOff>
                    <xdr:row>144</xdr:row>
                    <xdr:rowOff>200025</xdr:rowOff>
                  </to>
                </anchor>
              </controlPr>
            </control>
          </mc:Choice>
        </mc:AlternateContent>
        <mc:AlternateContent xmlns:mc="http://schemas.openxmlformats.org/markup-compatibility/2006">
          <mc:Choice Requires="x14">
            <control shapeId="157206" r:id="rId155" name="Check Box 24086">
              <controlPr locked="0" defaultSize="0" autoFill="0" autoLine="0" autoPict="0">
                <anchor moveWithCells="1">
                  <from>
                    <xdr:col>2</xdr:col>
                    <xdr:colOff>47625</xdr:colOff>
                    <xdr:row>144</xdr:row>
                    <xdr:rowOff>19050</xdr:rowOff>
                  </from>
                  <to>
                    <xdr:col>2</xdr:col>
                    <xdr:colOff>285750</xdr:colOff>
                    <xdr:row>145</xdr:row>
                    <xdr:rowOff>19050</xdr:rowOff>
                  </to>
                </anchor>
              </controlPr>
            </control>
          </mc:Choice>
        </mc:AlternateContent>
        <mc:AlternateContent xmlns:mc="http://schemas.openxmlformats.org/markup-compatibility/2006">
          <mc:Choice Requires="x14">
            <control shapeId="157207" r:id="rId156" name="Drop Down 24087">
              <controlPr defaultSize="0" autoLine="0" autoPict="0">
                <anchor moveWithCells="1">
                  <from>
                    <xdr:col>5</xdr:col>
                    <xdr:colOff>9525</xdr:colOff>
                    <xdr:row>145</xdr:row>
                    <xdr:rowOff>9525</xdr:rowOff>
                  </from>
                  <to>
                    <xdr:col>5</xdr:col>
                    <xdr:colOff>485775</xdr:colOff>
                    <xdr:row>146</xdr:row>
                    <xdr:rowOff>0</xdr:rowOff>
                  </to>
                </anchor>
              </controlPr>
            </control>
          </mc:Choice>
        </mc:AlternateContent>
        <mc:AlternateContent xmlns:mc="http://schemas.openxmlformats.org/markup-compatibility/2006">
          <mc:Choice Requires="x14">
            <control shapeId="157208" r:id="rId157" name="Check Box 24088">
              <controlPr locked="0" defaultSize="0" autoFill="0" autoLine="0" autoPict="0">
                <anchor moveWithCells="1">
                  <from>
                    <xdr:col>2</xdr:col>
                    <xdr:colOff>47625</xdr:colOff>
                    <xdr:row>145</xdr:row>
                    <xdr:rowOff>19050</xdr:rowOff>
                  </from>
                  <to>
                    <xdr:col>2</xdr:col>
                    <xdr:colOff>285750</xdr:colOff>
                    <xdr:row>146</xdr:row>
                    <xdr:rowOff>19050</xdr:rowOff>
                  </to>
                </anchor>
              </controlPr>
            </control>
          </mc:Choice>
        </mc:AlternateContent>
        <mc:AlternateContent xmlns:mc="http://schemas.openxmlformats.org/markup-compatibility/2006">
          <mc:Choice Requires="x14">
            <control shapeId="157209" r:id="rId158" name="Drop Down 24089">
              <controlPr defaultSize="0" autoLine="0" autoPict="0">
                <anchor moveWithCells="1">
                  <from>
                    <xdr:col>5</xdr:col>
                    <xdr:colOff>9525</xdr:colOff>
                    <xdr:row>146</xdr:row>
                    <xdr:rowOff>9525</xdr:rowOff>
                  </from>
                  <to>
                    <xdr:col>5</xdr:col>
                    <xdr:colOff>485775</xdr:colOff>
                    <xdr:row>147</xdr:row>
                    <xdr:rowOff>0</xdr:rowOff>
                  </to>
                </anchor>
              </controlPr>
            </control>
          </mc:Choice>
        </mc:AlternateContent>
        <mc:AlternateContent xmlns:mc="http://schemas.openxmlformats.org/markup-compatibility/2006">
          <mc:Choice Requires="x14">
            <control shapeId="157210" r:id="rId159" name="Check Box 24090">
              <controlPr locked="0" defaultSize="0" autoFill="0" autoLine="0" autoPict="0">
                <anchor moveWithCells="1">
                  <from>
                    <xdr:col>2</xdr:col>
                    <xdr:colOff>47625</xdr:colOff>
                    <xdr:row>146</xdr:row>
                    <xdr:rowOff>19050</xdr:rowOff>
                  </from>
                  <to>
                    <xdr:col>2</xdr:col>
                    <xdr:colOff>285750</xdr:colOff>
                    <xdr:row>147</xdr:row>
                    <xdr:rowOff>19050</xdr:rowOff>
                  </to>
                </anchor>
              </controlPr>
            </control>
          </mc:Choice>
        </mc:AlternateContent>
        <mc:AlternateContent xmlns:mc="http://schemas.openxmlformats.org/markup-compatibility/2006">
          <mc:Choice Requires="x14">
            <control shapeId="157211" r:id="rId160" name="Drop Down 24091">
              <controlPr defaultSize="0" autoLine="0" autoPict="0">
                <anchor moveWithCells="1">
                  <from>
                    <xdr:col>5</xdr:col>
                    <xdr:colOff>9525</xdr:colOff>
                    <xdr:row>147</xdr:row>
                    <xdr:rowOff>9525</xdr:rowOff>
                  </from>
                  <to>
                    <xdr:col>5</xdr:col>
                    <xdr:colOff>485775</xdr:colOff>
                    <xdr:row>147</xdr:row>
                    <xdr:rowOff>200025</xdr:rowOff>
                  </to>
                </anchor>
              </controlPr>
            </control>
          </mc:Choice>
        </mc:AlternateContent>
        <mc:AlternateContent xmlns:mc="http://schemas.openxmlformats.org/markup-compatibility/2006">
          <mc:Choice Requires="x14">
            <control shapeId="157212" r:id="rId161" name="Check Box 24092">
              <controlPr locked="0" defaultSize="0" autoFill="0" autoLine="0" autoPict="0">
                <anchor moveWithCells="1">
                  <from>
                    <xdr:col>2</xdr:col>
                    <xdr:colOff>47625</xdr:colOff>
                    <xdr:row>147</xdr:row>
                    <xdr:rowOff>19050</xdr:rowOff>
                  </from>
                  <to>
                    <xdr:col>2</xdr:col>
                    <xdr:colOff>285750</xdr:colOff>
                    <xdr:row>148</xdr:row>
                    <xdr:rowOff>19050</xdr:rowOff>
                  </to>
                </anchor>
              </controlPr>
            </control>
          </mc:Choice>
        </mc:AlternateContent>
        <mc:AlternateContent xmlns:mc="http://schemas.openxmlformats.org/markup-compatibility/2006">
          <mc:Choice Requires="x14">
            <control shapeId="157213" r:id="rId162" name="Drop Down 24093">
              <controlPr defaultSize="0" autoLine="0" autoPict="0">
                <anchor moveWithCells="1">
                  <from>
                    <xdr:col>5</xdr:col>
                    <xdr:colOff>9525</xdr:colOff>
                    <xdr:row>148</xdr:row>
                    <xdr:rowOff>9525</xdr:rowOff>
                  </from>
                  <to>
                    <xdr:col>5</xdr:col>
                    <xdr:colOff>485775</xdr:colOff>
                    <xdr:row>149</xdr:row>
                    <xdr:rowOff>0</xdr:rowOff>
                  </to>
                </anchor>
              </controlPr>
            </control>
          </mc:Choice>
        </mc:AlternateContent>
        <mc:AlternateContent xmlns:mc="http://schemas.openxmlformats.org/markup-compatibility/2006">
          <mc:Choice Requires="x14">
            <control shapeId="157214" r:id="rId163" name="Check Box 24094">
              <controlPr locked="0" defaultSize="0" autoFill="0" autoLine="0" autoPict="0">
                <anchor moveWithCells="1">
                  <from>
                    <xdr:col>2</xdr:col>
                    <xdr:colOff>47625</xdr:colOff>
                    <xdr:row>148</xdr:row>
                    <xdr:rowOff>19050</xdr:rowOff>
                  </from>
                  <to>
                    <xdr:col>2</xdr:col>
                    <xdr:colOff>285750</xdr:colOff>
                    <xdr:row>149</xdr:row>
                    <xdr:rowOff>19050</xdr:rowOff>
                  </to>
                </anchor>
              </controlPr>
            </control>
          </mc:Choice>
        </mc:AlternateContent>
        <mc:AlternateContent xmlns:mc="http://schemas.openxmlformats.org/markup-compatibility/2006">
          <mc:Choice Requires="x14">
            <control shapeId="157215" r:id="rId164" name="Drop Down 24095">
              <controlPr defaultSize="0" autoLine="0" autoPict="0">
                <anchor moveWithCells="1">
                  <from>
                    <xdr:col>5</xdr:col>
                    <xdr:colOff>9525</xdr:colOff>
                    <xdr:row>149</xdr:row>
                    <xdr:rowOff>9525</xdr:rowOff>
                  </from>
                  <to>
                    <xdr:col>5</xdr:col>
                    <xdr:colOff>485775</xdr:colOff>
                    <xdr:row>150</xdr:row>
                    <xdr:rowOff>0</xdr:rowOff>
                  </to>
                </anchor>
              </controlPr>
            </control>
          </mc:Choice>
        </mc:AlternateContent>
        <mc:AlternateContent xmlns:mc="http://schemas.openxmlformats.org/markup-compatibility/2006">
          <mc:Choice Requires="x14">
            <control shapeId="157216" r:id="rId165" name="Check Box 24096">
              <controlPr locked="0" defaultSize="0" autoFill="0" autoLine="0" autoPict="0">
                <anchor moveWithCells="1">
                  <from>
                    <xdr:col>2</xdr:col>
                    <xdr:colOff>47625</xdr:colOff>
                    <xdr:row>149</xdr:row>
                    <xdr:rowOff>19050</xdr:rowOff>
                  </from>
                  <to>
                    <xdr:col>2</xdr:col>
                    <xdr:colOff>285750</xdr:colOff>
                    <xdr:row>150</xdr:row>
                    <xdr:rowOff>19050</xdr:rowOff>
                  </to>
                </anchor>
              </controlPr>
            </control>
          </mc:Choice>
        </mc:AlternateContent>
        <mc:AlternateContent xmlns:mc="http://schemas.openxmlformats.org/markup-compatibility/2006">
          <mc:Choice Requires="x14">
            <control shapeId="157217" r:id="rId166" name="Drop Down 24097">
              <controlPr defaultSize="0" autoLine="0" autoPict="0">
                <anchor moveWithCells="1">
                  <from>
                    <xdr:col>5</xdr:col>
                    <xdr:colOff>9525</xdr:colOff>
                    <xdr:row>150</xdr:row>
                    <xdr:rowOff>9525</xdr:rowOff>
                  </from>
                  <to>
                    <xdr:col>5</xdr:col>
                    <xdr:colOff>485775</xdr:colOff>
                    <xdr:row>150</xdr:row>
                    <xdr:rowOff>200025</xdr:rowOff>
                  </to>
                </anchor>
              </controlPr>
            </control>
          </mc:Choice>
        </mc:AlternateContent>
        <mc:AlternateContent xmlns:mc="http://schemas.openxmlformats.org/markup-compatibility/2006">
          <mc:Choice Requires="x14">
            <control shapeId="157218" r:id="rId167" name="Check Box 24098">
              <controlPr locked="0" defaultSize="0" autoFill="0" autoLine="0" autoPict="0">
                <anchor moveWithCells="1">
                  <from>
                    <xdr:col>2</xdr:col>
                    <xdr:colOff>47625</xdr:colOff>
                    <xdr:row>150</xdr:row>
                    <xdr:rowOff>19050</xdr:rowOff>
                  </from>
                  <to>
                    <xdr:col>2</xdr:col>
                    <xdr:colOff>285750</xdr:colOff>
                    <xdr:row>151</xdr:row>
                    <xdr:rowOff>19050</xdr:rowOff>
                  </to>
                </anchor>
              </controlPr>
            </control>
          </mc:Choice>
        </mc:AlternateContent>
        <mc:AlternateContent xmlns:mc="http://schemas.openxmlformats.org/markup-compatibility/2006">
          <mc:Choice Requires="x14">
            <control shapeId="157219" r:id="rId168" name="Drop Down 24099">
              <controlPr defaultSize="0" autoLine="0" autoPict="0">
                <anchor moveWithCells="1">
                  <from>
                    <xdr:col>5</xdr:col>
                    <xdr:colOff>9525</xdr:colOff>
                    <xdr:row>151</xdr:row>
                    <xdr:rowOff>9525</xdr:rowOff>
                  </from>
                  <to>
                    <xdr:col>5</xdr:col>
                    <xdr:colOff>485775</xdr:colOff>
                    <xdr:row>152</xdr:row>
                    <xdr:rowOff>0</xdr:rowOff>
                  </to>
                </anchor>
              </controlPr>
            </control>
          </mc:Choice>
        </mc:AlternateContent>
        <mc:AlternateContent xmlns:mc="http://schemas.openxmlformats.org/markup-compatibility/2006">
          <mc:Choice Requires="x14">
            <control shapeId="157220" r:id="rId169" name="Check Box 24100">
              <controlPr locked="0" defaultSize="0" autoFill="0" autoLine="0" autoPict="0">
                <anchor moveWithCells="1">
                  <from>
                    <xdr:col>2</xdr:col>
                    <xdr:colOff>47625</xdr:colOff>
                    <xdr:row>151</xdr:row>
                    <xdr:rowOff>19050</xdr:rowOff>
                  </from>
                  <to>
                    <xdr:col>2</xdr:col>
                    <xdr:colOff>285750</xdr:colOff>
                    <xdr:row>152</xdr:row>
                    <xdr:rowOff>19050</xdr:rowOff>
                  </to>
                </anchor>
              </controlPr>
            </control>
          </mc:Choice>
        </mc:AlternateContent>
        <mc:AlternateContent xmlns:mc="http://schemas.openxmlformats.org/markup-compatibility/2006">
          <mc:Choice Requires="x14">
            <control shapeId="157221" r:id="rId170" name="Drop Down 24101">
              <controlPr defaultSize="0" autoLine="0" autoPict="0">
                <anchor moveWithCells="1">
                  <from>
                    <xdr:col>5</xdr:col>
                    <xdr:colOff>9525</xdr:colOff>
                    <xdr:row>152</xdr:row>
                    <xdr:rowOff>9525</xdr:rowOff>
                  </from>
                  <to>
                    <xdr:col>5</xdr:col>
                    <xdr:colOff>485775</xdr:colOff>
                    <xdr:row>153</xdr:row>
                    <xdr:rowOff>0</xdr:rowOff>
                  </to>
                </anchor>
              </controlPr>
            </control>
          </mc:Choice>
        </mc:AlternateContent>
        <mc:AlternateContent xmlns:mc="http://schemas.openxmlformats.org/markup-compatibility/2006">
          <mc:Choice Requires="x14">
            <control shapeId="157222" r:id="rId171" name="Check Box 24102">
              <controlPr locked="0" defaultSize="0" autoFill="0" autoLine="0" autoPict="0">
                <anchor moveWithCells="1">
                  <from>
                    <xdr:col>2</xdr:col>
                    <xdr:colOff>47625</xdr:colOff>
                    <xdr:row>152</xdr:row>
                    <xdr:rowOff>19050</xdr:rowOff>
                  </from>
                  <to>
                    <xdr:col>2</xdr:col>
                    <xdr:colOff>285750</xdr:colOff>
                    <xdr:row>153</xdr:row>
                    <xdr:rowOff>19050</xdr:rowOff>
                  </to>
                </anchor>
              </controlPr>
            </control>
          </mc:Choice>
        </mc:AlternateContent>
        <mc:AlternateContent xmlns:mc="http://schemas.openxmlformats.org/markup-compatibility/2006">
          <mc:Choice Requires="x14">
            <control shapeId="157223" r:id="rId172" name="Drop Down 24103">
              <controlPr defaultSize="0" autoLine="0" autoPict="0">
                <anchor moveWithCells="1">
                  <from>
                    <xdr:col>5</xdr:col>
                    <xdr:colOff>9525</xdr:colOff>
                    <xdr:row>153</xdr:row>
                    <xdr:rowOff>9525</xdr:rowOff>
                  </from>
                  <to>
                    <xdr:col>5</xdr:col>
                    <xdr:colOff>485775</xdr:colOff>
                    <xdr:row>153</xdr:row>
                    <xdr:rowOff>200025</xdr:rowOff>
                  </to>
                </anchor>
              </controlPr>
            </control>
          </mc:Choice>
        </mc:AlternateContent>
        <mc:AlternateContent xmlns:mc="http://schemas.openxmlformats.org/markup-compatibility/2006">
          <mc:Choice Requires="x14">
            <control shapeId="157224" r:id="rId173" name="Check Box 24104">
              <controlPr locked="0" defaultSize="0" autoFill="0" autoLine="0" autoPict="0">
                <anchor moveWithCells="1">
                  <from>
                    <xdr:col>2</xdr:col>
                    <xdr:colOff>47625</xdr:colOff>
                    <xdr:row>153</xdr:row>
                    <xdr:rowOff>19050</xdr:rowOff>
                  </from>
                  <to>
                    <xdr:col>2</xdr:col>
                    <xdr:colOff>285750</xdr:colOff>
                    <xdr:row>154</xdr:row>
                    <xdr:rowOff>19050</xdr:rowOff>
                  </to>
                </anchor>
              </controlPr>
            </control>
          </mc:Choice>
        </mc:AlternateContent>
        <mc:AlternateContent xmlns:mc="http://schemas.openxmlformats.org/markup-compatibility/2006">
          <mc:Choice Requires="x14">
            <control shapeId="157225" r:id="rId174" name="Drop Down 24105">
              <controlPr defaultSize="0" autoLine="0" autoPict="0">
                <anchor moveWithCells="1">
                  <from>
                    <xdr:col>5</xdr:col>
                    <xdr:colOff>9525</xdr:colOff>
                    <xdr:row>154</xdr:row>
                    <xdr:rowOff>0</xdr:rowOff>
                  </from>
                  <to>
                    <xdr:col>5</xdr:col>
                    <xdr:colOff>485775</xdr:colOff>
                    <xdr:row>154</xdr:row>
                    <xdr:rowOff>190500</xdr:rowOff>
                  </to>
                </anchor>
              </controlPr>
            </control>
          </mc:Choice>
        </mc:AlternateContent>
        <mc:AlternateContent xmlns:mc="http://schemas.openxmlformats.org/markup-compatibility/2006">
          <mc:Choice Requires="x14">
            <control shapeId="157226" r:id="rId175" name="Check Box 24106">
              <controlPr locked="0" defaultSize="0" autoFill="0" autoLine="0" autoPict="0">
                <anchor moveWithCells="1">
                  <from>
                    <xdr:col>2</xdr:col>
                    <xdr:colOff>47625</xdr:colOff>
                    <xdr:row>154</xdr:row>
                    <xdr:rowOff>19050</xdr:rowOff>
                  </from>
                  <to>
                    <xdr:col>2</xdr:col>
                    <xdr:colOff>285750</xdr:colOff>
                    <xdr:row>155</xdr:row>
                    <xdr:rowOff>19050</xdr:rowOff>
                  </to>
                </anchor>
              </controlPr>
            </control>
          </mc:Choice>
        </mc:AlternateContent>
        <mc:AlternateContent xmlns:mc="http://schemas.openxmlformats.org/markup-compatibility/2006">
          <mc:Choice Requires="x14">
            <control shapeId="157272" r:id="rId176" name="Check Box 24152">
              <controlPr locked="0" defaultSize="0" autoFill="0" autoLine="0" autoPict="0">
                <anchor moveWithCells="1">
                  <from>
                    <xdr:col>4</xdr:col>
                    <xdr:colOff>142875</xdr:colOff>
                    <xdr:row>306</xdr:row>
                    <xdr:rowOff>9525</xdr:rowOff>
                  </from>
                  <to>
                    <xdr:col>4</xdr:col>
                    <xdr:colOff>381000</xdr:colOff>
                    <xdr:row>306</xdr:row>
                    <xdr:rowOff>200025</xdr:rowOff>
                  </to>
                </anchor>
              </controlPr>
            </control>
          </mc:Choice>
        </mc:AlternateContent>
        <mc:AlternateContent xmlns:mc="http://schemas.openxmlformats.org/markup-compatibility/2006">
          <mc:Choice Requires="x14">
            <control shapeId="157273" r:id="rId177" name="Check Box 24153">
              <controlPr defaultSize="0" autoFill="0" autoLine="0" autoPict="0">
                <anchor moveWithCells="1">
                  <from>
                    <xdr:col>4</xdr:col>
                    <xdr:colOff>142875</xdr:colOff>
                    <xdr:row>307</xdr:row>
                    <xdr:rowOff>9525</xdr:rowOff>
                  </from>
                  <to>
                    <xdr:col>4</xdr:col>
                    <xdr:colOff>381000</xdr:colOff>
                    <xdr:row>307</xdr:row>
                    <xdr:rowOff>200025</xdr:rowOff>
                  </to>
                </anchor>
              </controlPr>
            </control>
          </mc:Choice>
        </mc:AlternateContent>
        <mc:AlternateContent xmlns:mc="http://schemas.openxmlformats.org/markup-compatibility/2006">
          <mc:Choice Requires="x14">
            <control shapeId="157274" r:id="rId178" name="Check Box 24154">
              <controlPr locked="0" defaultSize="0" autoFill="0" autoLine="0" autoPict="0">
                <anchor moveWithCells="1">
                  <from>
                    <xdr:col>4</xdr:col>
                    <xdr:colOff>142875</xdr:colOff>
                    <xdr:row>307</xdr:row>
                    <xdr:rowOff>9525</xdr:rowOff>
                  </from>
                  <to>
                    <xdr:col>4</xdr:col>
                    <xdr:colOff>381000</xdr:colOff>
                    <xdr:row>307</xdr:row>
                    <xdr:rowOff>200025</xdr:rowOff>
                  </to>
                </anchor>
              </controlPr>
            </control>
          </mc:Choice>
        </mc:AlternateContent>
        <mc:AlternateContent xmlns:mc="http://schemas.openxmlformats.org/markup-compatibility/2006">
          <mc:Choice Requires="x14">
            <control shapeId="157275" r:id="rId179" name="Check Box 24155">
              <controlPr defaultSize="0" autoFill="0" autoLine="0" autoPict="0">
                <anchor moveWithCells="1">
                  <from>
                    <xdr:col>4</xdr:col>
                    <xdr:colOff>142875</xdr:colOff>
                    <xdr:row>308</xdr:row>
                    <xdr:rowOff>9525</xdr:rowOff>
                  </from>
                  <to>
                    <xdr:col>4</xdr:col>
                    <xdr:colOff>381000</xdr:colOff>
                    <xdr:row>308</xdr:row>
                    <xdr:rowOff>200025</xdr:rowOff>
                  </to>
                </anchor>
              </controlPr>
            </control>
          </mc:Choice>
        </mc:AlternateContent>
        <mc:AlternateContent xmlns:mc="http://schemas.openxmlformats.org/markup-compatibility/2006">
          <mc:Choice Requires="x14">
            <control shapeId="157276" r:id="rId180" name="Check Box 24156">
              <controlPr defaultSize="0" autoFill="0" autoLine="0" autoPict="0">
                <anchor moveWithCells="1">
                  <from>
                    <xdr:col>4</xdr:col>
                    <xdr:colOff>142875</xdr:colOff>
                    <xdr:row>308</xdr:row>
                    <xdr:rowOff>9525</xdr:rowOff>
                  </from>
                  <to>
                    <xdr:col>4</xdr:col>
                    <xdr:colOff>381000</xdr:colOff>
                    <xdr:row>308</xdr:row>
                    <xdr:rowOff>200025</xdr:rowOff>
                  </to>
                </anchor>
              </controlPr>
            </control>
          </mc:Choice>
        </mc:AlternateContent>
        <mc:AlternateContent xmlns:mc="http://schemas.openxmlformats.org/markup-compatibility/2006">
          <mc:Choice Requires="x14">
            <control shapeId="157277" r:id="rId181" name="Check Box 24157">
              <controlPr locked="0" defaultSize="0" autoFill="0" autoLine="0" autoPict="0">
                <anchor moveWithCells="1">
                  <from>
                    <xdr:col>4</xdr:col>
                    <xdr:colOff>142875</xdr:colOff>
                    <xdr:row>308</xdr:row>
                    <xdr:rowOff>9525</xdr:rowOff>
                  </from>
                  <to>
                    <xdr:col>4</xdr:col>
                    <xdr:colOff>381000</xdr:colOff>
                    <xdr:row>308</xdr:row>
                    <xdr:rowOff>200025</xdr:rowOff>
                  </to>
                </anchor>
              </controlPr>
            </control>
          </mc:Choice>
        </mc:AlternateContent>
        <mc:AlternateContent xmlns:mc="http://schemas.openxmlformats.org/markup-compatibility/2006">
          <mc:Choice Requires="x14">
            <control shapeId="157278" r:id="rId182" name="Check Box 24158">
              <controlPr defaultSize="0" autoFill="0" autoLine="0" autoPict="0">
                <anchor moveWithCells="1">
                  <from>
                    <xdr:col>4</xdr:col>
                    <xdr:colOff>142875</xdr:colOff>
                    <xdr:row>309</xdr:row>
                    <xdr:rowOff>9525</xdr:rowOff>
                  </from>
                  <to>
                    <xdr:col>4</xdr:col>
                    <xdr:colOff>381000</xdr:colOff>
                    <xdr:row>309</xdr:row>
                    <xdr:rowOff>200025</xdr:rowOff>
                  </to>
                </anchor>
              </controlPr>
            </control>
          </mc:Choice>
        </mc:AlternateContent>
        <mc:AlternateContent xmlns:mc="http://schemas.openxmlformats.org/markup-compatibility/2006">
          <mc:Choice Requires="x14">
            <control shapeId="157279" r:id="rId183" name="Check Box 24159">
              <controlPr defaultSize="0" autoFill="0" autoLine="0" autoPict="0">
                <anchor moveWithCells="1">
                  <from>
                    <xdr:col>4</xdr:col>
                    <xdr:colOff>142875</xdr:colOff>
                    <xdr:row>309</xdr:row>
                    <xdr:rowOff>9525</xdr:rowOff>
                  </from>
                  <to>
                    <xdr:col>4</xdr:col>
                    <xdr:colOff>381000</xdr:colOff>
                    <xdr:row>309</xdr:row>
                    <xdr:rowOff>200025</xdr:rowOff>
                  </to>
                </anchor>
              </controlPr>
            </control>
          </mc:Choice>
        </mc:AlternateContent>
        <mc:AlternateContent xmlns:mc="http://schemas.openxmlformats.org/markup-compatibility/2006">
          <mc:Choice Requires="x14">
            <control shapeId="157280" r:id="rId184" name="Check Box 24160">
              <controlPr locked="0" defaultSize="0" autoFill="0" autoLine="0" autoPict="0">
                <anchor moveWithCells="1">
                  <from>
                    <xdr:col>4</xdr:col>
                    <xdr:colOff>142875</xdr:colOff>
                    <xdr:row>309</xdr:row>
                    <xdr:rowOff>9525</xdr:rowOff>
                  </from>
                  <to>
                    <xdr:col>4</xdr:col>
                    <xdr:colOff>381000</xdr:colOff>
                    <xdr:row>309</xdr:row>
                    <xdr:rowOff>200025</xdr:rowOff>
                  </to>
                </anchor>
              </controlPr>
            </control>
          </mc:Choice>
        </mc:AlternateContent>
        <mc:AlternateContent xmlns:mc="http://schemas.openxmlformats.org/markup-compatibility/2006">
          <mc:Choice Requires="x14">
            <control shapeId="157281" r:id="rId185" name="Check Box 24161">
              <controlPr defaultSize="0" autoFill="0" autoLine="0" autoPict="0">
                <anchor moveWithCells="1">
                  <from>
                    <xdr:col>4</xdr:col>
                    <xdr:colOff>142875</xdr:colOff>
                    <xdr:row>310</xdr:row>
                    <xdr:rowOff>9525</xdr:rowOff>
                  </from>
                  <to>
                    <xdr:col>4</xdr:col>
                    <xdr:colOff>381000</xdr:colOff>
                    <xdr:row>310</xdr:row>
                    <xdr:rowOff>200025</xdr:rowOff>
                  </to>
                </anchor>
              </controlPr>
            </control>
          </mc:Choice>
        </mc:AlternateContent>
        <mc:AlternateContent xmlns:mc="http://schemas.openxmlformats.org/markup-compatibility/2006">
          <mc:Choice Requires="x14">
            <control shapeId="157282" r:id="rId186" name="Check Box 24162">
              <controlPr defaultSize="0" autoFill="0" autoLine="0" autoPict="0">
                <anchor moveWithCells="1">
                  <from>
                    <xdr:col>4</xdr:col>
                    <xdr:colOff>142875</xdr:colOff>
                    <xdr:row>310</xdr:row>
                    <xdr:rowOff>9525</xdr:rowOff>
                  </from>
                  <to>
                    <xdr:col>4</xdr:col>
                    <xdr:colOff>381000</xdr:colOff>
                    <xdr:row>310</xdr:row>
                    <xdr:rowOff>200025</xdr:rowOff>
                  </to>
                </anchor>
              </controlPr>
            </control>
          </mc:Choice>
        </mc:AlternateContent>
        <mc:AlternateContent xmlns:mc="http://schemas.openxmlformats.org/markup-compatibility/2006">
          <mc:Choice Requires="x14">
            <control shapeId="157283" r:id="rId187" name="Check Box 24163">
              <controlPr locked="0" defaultSize="0" autoFill="0" autoLine="0" autoPict="0">
                <anchor moveWithCells="1">
                  <from>
                    <xdr:col>4</xdr:col>
                    <xdr:colOff>142875</xdr:colOff>
                    <xdr:row>310</xdr:row>
                    <xdr:rowOff>9525</xdr:rowOff>
                  </from>
                  <to>
                    <xdr:col>4</xdr:col>
                    <xdr:colOff>381000</xdr:colOff>
                    <xdr:row>310</xdr:row>
                    <xdr:rowOff>200025</xdr:rowOff>
                  </to>
                </anchor>
              </controlPr>
            </control>
          </mc:Choice>
        </mc:AlternateContent>
        <mc:AlternateContent xmlns:mc="http://schemas.openxmlformats.org/markup-compatibility/2006">
          <mc:Choice Requires="x14">
            <control shapeId="157284" r:id="rId188" name="Check Box 24164">
              <controlPr defaultSize="0" autoFill="0" autoLine="0" autoPict="0">
                <anchor moveWithCells="1">
                  <from>
                    <xdr:col>4</xdr:col>
                    <xdr:colOff>142875</xdr:colOff>
                    <xdr:row>311</xdr:row>
                    <xdr:rowOff>9525</xdr:rowOff>
                  </from>
                  <to>
                    <xdr:col>4</xdr:col>
                    <xdr:colOff>381000</xdr:colOff>
                    <xdr:row>311</xdr:row>
                    <xdr:rowOff>200025</xdr:rowOff>
                  </to>
                </anchor>
              </controlPr>
            </control>
          </mc:Choice>
        </mc:AlternateContent>
        <mc:AlternateContent xmlns:mc="http://schemas.openxmlformats.org/markup-compatibility/2006">
          <mc:Choice Requires="x14">
            <control shapeId="157285" r:id="rId189" name="Check Box 24165">
              <controlPr defaultSize="0" autoFill="0" autoLine="0" autoPict="0">
                <anchor moveWithCells="1">
                  <from>
                    <xdr:col>4</xdr:col>
                    <xdr:colOff>142875</xdr:colOff>
                    <xdr:row>311</xdr:row>
                    <xdr:rowOff>9525</xdr:rowOff>
                  </from>
                  <to>
                    <xdr:col>4</xdr:col>
                    <xdr:colOff>381000</xdr:colOff>
                    <xdr:row>311</xdr:row>
                    <xdr:rowOff>200025</xdr:rowOff>
                  </to>
                </anchor>
              </controlPr>
            </control>
          </mc:Choice>
        </mc:AlternateContent>
        <mc:AlternateContent xmlns:mc="http://schemas.openxmlformats.org/markup-compatibility/2006">
          <mc:Choice Requires="x14">
            <control shapeId="157286" r:id="rId190" name="Check Box 24166">
              <controlPr locked="0" defaultSize="0" autoFill="0" autoLine="0" autoPict="0">
                <anchor moveWithCells="1">
                  <from>
                    <xdr:col>4</xdr:col>
                    <xdr:colOff>142875</xdr:colOff>
                    <xdr:row>311</xdr:row>
                    <xdr:rowOff>9525</xdr:rowOff>
                  </from>
                  <to>
                    <xdr:col>4</xdr:col>
                    <xdr:colOff>381000</xdr:colOff>
                    <xdr:row>311</xdr:row>
                    <xdr:rowOff>200025</xdr:rowOff>
                  </to>
                </anchor>
              </controlPr>
            </control>
          </mc:Choice>
        </mc:AlternateContent>
        <mc:AlternateContent xmlns:mc="http://schemas.openxmlformats.org/markup-compatibility/2006">
          <mc:Choice Requires="x14">
            <control shapeId="157287" r:id="rId191" name="Check Box 24167">
              <controlPr defaultSize="0" autoFill="0" autoLine="0" autoPict="0">
                <anchor moveWithCells="1">
                  <from>
                    <xdr:col>4</xdr:col>
                    <xdr:colOff>142875</xdr:colOff>
                    <xdr:row>312</xdr:row>
                    <xdr:rowOff>9525</xdr:rowOff>
                  </from>
                  <to>
                    <xdr:col>4</xdr:col>
                    <xdr:colOff>381000</xdr:colOff>
                    <xdr:row>312</xdr:row>
                    <xdr:rowOff>200025</xdr:rowOff>
                  </to>
                </anchor>
              </controlPr>
            </control>
          </mc:Choice>
        </mc:AlternateContent>
        <mc:AlternateContent xmlns:mc="http://schemas.openxmlformats.org/markup-compatibility/2006">
          <mc:Choice Requires="x14">
            <control shapeId="157288" r:id="rId192" name="Check Box 24168">
              <controlPr defaultSize="0" autoFill="0" autoLine="0" autoPict="0">
                <anchor moveWithCells="1">
                  <from>
                    <xdr:col>4</xdr:col>
                    <xdr:colOff>142875</xdr:colOff>
                    <xdr:row>312</xdr:row>
                    <xdr:rowOff>9525</xdr:rowOff>
                  </from>
                  <to>
                    <xdr:col>4</xdr:col>
                    <xdr:colOff>381000</xdr:colOff>
                    <xdr:row>312</xdr:row>
                    <xdr:rowOff>200025</xdr:rowOff>
                  </to>
                </anchor>
              </controlPr>
            </control>
          </mc:Choice>
        </mc:AlternateContent>
        <mc:AlternateContent xmlns:mc="http://schemas.openxmlformats.org/markup-compatibility/2006">
          <mc:Choice Requires="x14">
            <control shapeId="157289" r:id="rId193" name="Check Box 24169">
              <controlPr locked="0" defaultSize="0" autoFill="0" autoLine="0" autoPict="0">
                <anchor moveWithCells="1">
                  <from>
                    <xdr:col>4</xdr:col>
                    <xdr:colOff>142875</xdr:colOff>
                    <xdr:row>312</xdr:row>
                    <xdr:rowOff>9525</xdr:rowOff>
                  </from>
                  <to>
                    <xdr:col>4</xdr:col>
                    <xdr:colOff>381000</xdr:colOff>
                    <xdr:row>312</xdr:row>
                    <xdr:rowOff>200025</xdr:rowOff>
                  </to>
                </anchor>
              </controlPr>
            </control>
          </mc:Choice>
        </mc:AlternateContent>
        <mc:AlternateContent xmlns:mc="http://schemas.openxmlformats.org/markup-compatibility/2006">
          <mc:Choice Requires="x14">
            <control shapeId="157290" r:id="rId194" name="Check Box 24170">
              <controlPr defaultSize="0" autoFill="0" autoLine="0" autoPict="0">
                <anchor moveWithCells="1">
                  <from>
                    <xdr:col>4</xdr:col>
                    <xdr:colOff>142875</xdr:colOff>
                    <xdr:row>313</xdr:row>
                    <xdr:rowOff>9525</xdr:rowOff>
                  </from>
                  <to>
                    <xdr:col>4</xdr:col>
                    <xdr:colOff>381000</xdr:colOff>
                    <xdr:row>313</xdr:row>
                    <xdr:rowOff>200025</xdr:rowOff>
                  </to>
                </anchor>
              </controlPr>
            </control>
          </mc:Choice>
        </mc:AlternateContent>
        <mc:AlternateContent xmlns:mc="http://schemas.openxmlformats.org/markup-compatibility/2006">
          <mc:Choice Requires="x14">
            <control shapeId="157291" r:id="rId195" name="Check Box 24171">
              <controlPr defaultSize="0" autoFill="0" autoLine="0" autoPict="0">
                <anchor moveWithCells="1">
                  <from>
                    <xdr:col>4</xdr:col>
                    <xdr:colOff>142875</xdr:colOff>
                    <xdr:row>313</xdr:row>
                    <xdr:rowOff>9525</xdr:rowOff>
                  </from>
                  <to>
                    <xdr:col>4</xdr:col>
                    <xdr:colOff>381000</xdr:colOff>
                    <xdr:row>313</xdr:row>
                    <xdr:rowOff>200025</xdr:rowOff>
                  </to>
                </anchor>
              </controlPr>
            </control>
          </mc:Choice>
        </mc:AlternateContent>
        <mc:AlternateContent xmlns:mc="http://schemas.openxmlformats.org/markup-compatibility/2006">
          <mc:Choice Requires="x14">
            <control shapeId="157292" r:id="rId196" name="Check Box 24172">
              <controlPr locked="0" defaultSize="0" autoFill="0" autoLine="0" autoPict="0">
                <anchor moveWithCells="1">
                  <from>
                    <xdr:col>4</xdr:col>
                    <xdr:colOff>142875</xdr:colOff>
                    <xdr:row>313</xdr:row>
                    <xdr:rowOff>9525</xdr:rowOff>
                  </from>
                  <to>
                    <xdr:col>4</xdr:col>
                    <xdr:colOff>381000</xdr:colOff>
                    <xdr:row>313</xdr:row>
                    <xdr:rowOff>200025</xdr:rowOff>
                  </to>
                </anchor>
              </controlPr>
            </control>
          </mc:Choice>
        </mc:AlternateContent>
        <mc:AlternateContent xmlns:mc="http://schemas.openxmlformats.org/markup-compatibility/2006">
          <mc:Choice Requires="x14">
            <control shapeId="157293" r:id="rId197" name="Check Box 24173">
              <controlPr defaultSize="0" autoFill="0" autoLine="0" autoPict="0">
                <anchor moveWithCells="1">
                  <from>
                    <xdr:col>4</xdr:col>
                    <xdr:colOff>142875</xdr:colOff>
                    <xdr:row>314</xdr:row>
                    <xdr:rowOff>9525</xdr:rowOff>
                  </from>
                  <to>
                    <xdr:col>4</xdr:col>
                    <xdr:colOff>381000</xdr:colOff>
                    <xdr:row>314</xdr:row>
                    <xdr:rowOff>200025</xdr:rowOff>
                  </to>
                </anchor>
              </controlPr>
            </control>
          </mc:Choice>
        </mc:AlternateContent>
        <mc:AlternateContent xmlns:mc="http://schemas.openxmlformats.org/markup-compatibility/2006">
          <mc:Choice Requires="x14">
            <control shapeId="157294" r:id="rId198" name="Check Box 24174">
              <controlPr defaultSize="0" autoFill="0" autoLine="0" autoPict="0">
                <anchor moveWithCells="1">
                  <from>
                    <xdr:col>4</xdr:col>
                    <xdr:colOff>142875</xdr:colOff>
                    <xdr:row>314</xdr:row>
                    <xdr:rowOff>9525</xdr:rowOff>
                  </from>
                  <to>
                    <xdr:col>4</xdr:col>
                    <xdr:colOff>381000</xdr:colOff>
                    <xdr:row>314</xdr:row>
                    <xdr:rowOff>200025</xdr:rowOff>
                  </to>
                </anchor>
              </controlPr>
            </control>
          </mc:Choice>
        </mc:AlternateContent>
        <mc:AlternateContent xmlns:mc="http://schemas.openxmlformats.org/markup-compatibility/2006">
          <mc:Choice Requires="x14">
            <control shapeId="157295" r:id="rId199" name="Check Box 24175">
              <controlPr locked="0" defaultSize="0" autoFill="0" autoLine="0" autoPict="0">
                <anchor moveWithCells="1">
                  <from>
                    <xdr:col>4</xdr:col>
                    <xdr:colOff>142875</xdr:colOff>
                    <xdr:row>314</xdr:row>
                    <xdr:rowOff>9525</xdr:rowOff>
                  </from>
                  <to>
                    <xdr:col>4</xdr:col>
                    <xdr:colOff>381000</xdr:colOff>
                    <xdr:row>314</xdr:row>
                    <xdr:rowOff>200025</xdr:rowOff>
                  </to>
                </anchor>
              </controlPr>
            </control>
          </mc:Choice>
        </mc:AlternateContent>
        <mc:AlternateContent xmlns:mc="http://schemas.openxmlformats.org/markup-compatibility/2006">
          <mc:Choice Requires="x14">
            <control shapeId="157296" r:id="rId200" name="Check Box 24176">
              <controlPr defaultSize="0" autoFill="0" autoLine="0" autoPict="0">
                <anchor moveWithCells="1">
                  <from>
                    <xdr:col>4</xdr:col>
                    <xdr:colOff>142875</xdr:colOff>
                    <xdr:row>315</xdr:row>
                    <xdr:rowOff>9525</xdr:rowOff>
                  </from>
                  <to>
                    <xdr:col>4</xdr:col>
                    <xdr:colOff>381000</xdr:colOff>
                    <xdr:row>315</xdr:row>
                    <xdr:rowOff>200025</xdr:rowOff>
                  </to>
                </anchor>
              </controlPr>
            </control>
          </mc:Choice>
        </mc:AlternateContent>
        <mc:AlternateContent xmlns:mc="http://schemas.openxmlformats.org/markup-compatibility/2006">
          <mc:Choice Requires="x14">
            <control shapeId="157297" r:id="rId201" name="Check Box 24177">
              <controlPr defaultSize="0" autoFill="0" autoLine="0" autoPict="0">
                <anchor moveWithCells="1">
                  <from>
                    <xdr:col>4</xdr:col>
                    <xdr:colOff>142875</xdr:colOff>
                    <xdr:row>315</xdr:row>
                    <xdr:rowOff>9525</xdr:rowOff>
                  </from>
                  <to>
                    <xdr:col>4</xdr:col>
                    <xdr:colOff>381000</xdr:colOff>
                    <xdr:row>315</xdr:row>
                    <xdr:rowOff>200025</xdr:rowOff>
                  </to>
                </anchor>
              </controlPr>
            </control>
          </mc:Choice>
        </mc:AlternateContent>
        <mc:AlternateContent xmlns:mc="http://schemas.openxmlformats.org/markup-compatibility/2006">
          <mc:Choice Requires="x14">
            <control shapeId="157298" r:id="rId202" name="Check Box 24178">
              <controlPr locked="0" defaultSize="0" autoFill="0" autoLine="0" autoPict="0">
                <anchor moveWithCells="1">
                  <from>
                    <xdr:col>4</xdr:col>
                    <xdr:colOff>142875</xdr:colOff>
                    <xdr:row>315</xdr:row>
                    <xdr:rowOff>9525</xdr:rowOff>
                  </from>
                  <to>
                    <xdr:col>4</xdr:col>
                    <xdr:colOff>381000</xdr:colOff>
                    <xdr:row>315</xdr:row>
                    <xdr:rowOff>200025</xdr:rowOff>
                  </to>
                </anchor>
              </controlPr>
            </control>
          </mc:Choice>
        </mc:AlternateContent>
        <mc:AlternateContent xmlns:mc="http://schemas.openxmlformats.org/markup-compatibility/2006">
          <mc:Choice Requires="x14">
            <control shapeId="157299" r:id="rId203" name="Check Box 24179">
              <controlPr defaultSize="0" autoFill="0" autoLine="0" autoPict="0">
                <anchor moveWithCells="1">
                  <from>
                    <xdr:col>4</xdr:col>
                    <xdr:colOff>142875</xdr:colOff>
                    <xdr:row>316</xdr:row>
                    <xdr:rowOff>9525</xdr:rowOff>
                  </from>
                  <to>
                    <xdr:col>4</xdr:col>
                    <xdr:colOff>381000</xdr:colOff>
                    <xdr:row>316</xdr:row>
                    <xdr:rowOff>200025</xdr:rowOff>
                  </to>
                </anchor>
              </controlPr>
            </control>
          </mc:Choice>
        </mc:AlternateContent>
        <mc:AlternateContent xmlns:mc="http://schemas.openxmlformats.org/markup-compatibility/2006">
          <mc:Choice Requires="x14">
            <control shapeId="157300" r:id="rId204" name="Check Box 24180">
              <controlPr defaultSize="0" autoFill="0" autoLine="0" autoPict="0">
                <anchor moveWithCells="1">
                  <from>
                    <xdr:col>4</xdr:col>
                    <xdr:colOff>142875</xdr:colOff>
                    <xdr:row>316</xdr:row>
                    <xdr:rowOff>9525</xdr:rowOff>
                  </from>
                  <to>
                    <xdr:col>4</xdr:col>
                    <xdr:colOff>381000</xdr:colOff>
                    <xdr:row>316</xdr:row>
                    <xdr:rowOff>200025</xdr:rowOff>
                  </to>
                </anchor>
              </controlPr>
            </control>
          </mc:Choice>
        </mc:AlternateContent>
        <mc:AlternateContent xmlns:mc="http://schemas.openxmlformats.org/markup-compatibility/2006">
          <mc:Choice Requires="x14">
            <control shapeId="157301" r:id="rId205" name="Check Box 24181">
              <controlPr locked="0" defaultSize="0" autoFill="0" autoLine="0" autoPict="0">
                <anchor moveWithCells="1">
                  <from>
                    <xdr:col>4</xdr:col>
                    <xdr:colOff>142875</xdr:colOff>
                    <xdr:row>316</xdr:row>
                    <xdr:rowOff>9525</xdr:rowOff>
                  </from>
                  <to>
                    <xdr:col>4</xdr:col>
                    <xdr:colOff>381000</xdr:colOff>
                    <xdr:row>316</xdr:row>
                    <xdr:rowOff>200025</xdr:rowOff>
                  </to>
                </anchor>
              </controlPr>
            </control>
          </mc:Choice>
        </mc:AlternateContent>
        <mc:AlternateContent xmlns:mc="http://schemas.openxmlformats.org/markup-compatibility/2006">
          <mc:Choice Requires="x14">
            <control shapeId="157302" r:id="rId206" name="Check Box 24182">
              <controlPr defaultSize="0" autoFill="0" autoLine="0" autoPict="0">
                <anchor moveWithCells="1">
                  <from>
                    <xdr:col>4</xdr:col>
                    <xdr:colOff>142875</xdr:colOff>
                    <xdr:row>317</xdr:row>
                    <xdr:rowOff>9525</xdr:rowOff>
                  </from>
                  <to>
                    <xdr:col>4</xdr:col>
                    <xdr:colOff>381000</xdr:colOff>
                    <xdr:row>317</xdr:row>
                    <xdr:rowOff>200025</xdr:rowOff>
                  </to>
                </anchor>
              </controlPr>
            </control>
          </mc:Choice>
        </mc:AlternateContent>
        <mc:AlternateContent xmlns:mc="http://schemas.openxmlformats.org/markup-compatibility/2006">
          <mc:Choice Requires="x14">
            <control shapeId="157303" r:id="rId207" name="Check Box 24183">
              <controlPr defaultSize="0" autoFill="0" autoLine="0" autoPict="0">
                <anchor moveWithCells="1">
                  <from>
                    <xdr:col>4</xdr:col>
                    <xdr:colOff>142875</xdr:colOff>
                    <xdr:row>317</xdr:row>
                    <xdr:rowOff>9525</xdr:rowOff>
                  </from>
                  <to>
                    <xdr:col>4</xdr:col>
                    <xdr:colOff>381000</xdr:colOff>
                    <xdr:row>317</xdr:row>
                    <xdr:rowOff>200025</xdr:rowOff>
                  </to>
                </anchor>
              </controlPr>
            </control>
          </mc:Choice>
        </mc:AlternateContent>
        <mc:AlternateContent xmlns:mc="http://schemas.openxmlformats.org/markup-compatibility/2006">
          <mc:Choice Requires="x14">
            <control shapeId="157304" r:id="rId208" name="Check Box 24184">
              <controlPr locked="0" defaultSize="0" autoFill="0" autoLine="0" autoPict="0">
                <anchor moveWithCells="1">
                  <from>
                    <xdr:col>4</xdr:col>
                    <xdr:colOff>142875</xdr:colOff>
                    <xdr:row>317</xdr:row>
                    <xdr:rowOff>9525</xdr:rowOff>
                  </from>
                  <to>
                    <xdr:col>4</xdr:col>
                    <xdr:colOff>381000</xdr:colOff>
                    <xdr:row>317</xdr:row>
                    <xdr:rowOff>200025</xdr:rowOff>
                  </to>
                </anchor>
              </controlPr>
            </control>
          </mc:Choice>
        </mc:AlternateContent>
        <mc:AlternateContent xmlns:mc="http://schemas.openxmlformats.org/markup-compatibility/2006">
          <mc:Choice Requires="x14">
            <control shapeId="157305" r:id="rId209" name="Check Box 24185">
              <controlPr defaultSize="0" autoFill="0" autoLine="0" autoPict="0">
                <anchor moveWithCells="1">
                  <from>
                    <xdr:col>4</xdr:col>
                    <xdr:colOff>142875</xdr:colOff>
                    <xdr:row>318</xdr:row>
                    <xdr:rowOff>9525</xdr:rowOff>
                  </from>
                  <to>
                    <xdr:col>4</xdr:col>
                    <xdr:colOff>381000</xdr:colOff>
                    <xdr:row>318</xdr:row>
                    <xdr:rowOff>200025</xdr:rowOff>
                  </to>
                </anchor>
              </controlPr>
            </control>
          </mc:Choice>
        </mc:AlternateContent>
        <mc:AlternateContent xmlns:mc="http://schemas.openxmlformats.org/markup-compatibility/2006">
          <mc:Choice Requires="x14">
            <control shapeId="157306" r:id="rId210" name="Check Box 24186">
              <controlPr defaultSize="0" autoFill="0" autoLine="0" autoPict="0">
                <anchor moveWithCells="1">
                  <from>
                    <xdr:col>4</xdr:col>
                    <xdr:colOff>142875</xdr:colOff>
                    <xdr:row>318</xdr:row>
                    <xdr:rowOff>9525</xdr:rowOff>
                  </from>
                  <to>
                    <xdr:col>4</xdr:col>
                    <xdr:colOff>381000</xdr:colOff>
                    <xdr:row>318</xdr:row>
                    <xdr:rowOff>200025</xdr:rowOff>
                  </to>
                </anchor>
              </controlPr>
            </control>
          </mc:Choice>
        </mc:AlternateContent>
        <mc:AlternateContent xmlns:mc="http://schemas.openxmlformats.org/markup-compatibility/2006">
          <mc:Choice Requires="x14">
            <control shapeId="157307" r:id="rId211" name="Check Box 24187">
              <controlPr locked="0" defaultSize="0" autoFill="0" autoLine="0" autoPict="0">
                <anchor moveWithCells="1">
                  <from>
                    <xdr:col>4</xdr:col>
                    <xdr:colOff>142875</xdr:colOff>
                    <xdr:row>318</xdr:row>
                    <xdr:rowOff>9525</xdr:rowOff>
                  </from>
                  <to>
                    <xdr:col>4</xdr:col>
                    <xdr:colOff>381000</xdr:colOff>
                    <xdr:row>318</xdr:row>
                    <xdr:rowOff>200025</xdr:rowOff>
                  </to>
                </anchor>
              </controlPr>
            </control>
          </mc:Choice>
        </mc:AlternateContent>
        <mc:AlternateContent xmlns:mc="http://schemas.openxmlformats.org/markup-compatibility/2006">
          <mc:Choice Requires="x14">
            <control shapeId="157308" r:id="rId212" name="Check Box 24188">
              <controlPr defaultSize="0" autoFill="0" autoLine="0" autoPict="0">
                <anchor moveWithCells="1">
                  <from>
                    <xdr:col>4</xdr:col>
                    <xdr:colOff>142875</xdr:colOff>
                    <xdr:row>319</xdr:row>
                    <xdr:rowOff>9525</xdr:rowOff>
                  </from>
                  <to>
                    <xdr:col>4</xdr:col>
                    <xdr:colOff>381000</xdr:colOff>
                    <xdr:row>319</xdr:row>
                    <xdr:rowOff>200025</xdr:rowOff>
                  </to>
                </anchor>
              </controlPr>
            </control>
          </mc:Choice>
        </mc:AlternateContent>
        <mc:AlternateContent xmlns:mc="http://schemas.openxmlformats.org/markup-compatibility/2006">
          <mc:Choice Requires="x14">
            <control shapeId="157309" r:id="rId213" name="Check Box 24189">
              <controlPr defaultSize="0" autoFill="0" autoLine="0" autoPict="0">
                <anchor moveWithCells="1">
                  <from>
                    <xdr:col>4</xdr:col>
                    <xdr:colOff>142875</xdr:colOff>
                    <xdr:row>319</xdr:row>
                    <xdr:rowOff>9525</xdr:rowOff>
                  </from>
                  <to>
                    <xdr:col>4</xdr:col>
                    <xdr:colOff>381000</xdr:colOff>
                    <xdr:row>319</xdr:row>
                    <xdr:rowOff>200025</xdr:rowOff>
                  </to>
                </anchor>
              </controlPr>
            </control>
          </mc:Choice>
        </mc:AlternateContent>
        <mc:AlternateContent xmlns:mc="http://schemas.openxmlformats.org/markup-compatibility/2006">
          <mc:Choice Requires="x14">
            <control shapeId="157310" r:id="rId214" name="Check Box 24190">
              <controlPr locked="0" defaultSize="0" autoFill="0" autoLine="0" autoPict="0">
                <anchor moveWithCells="1">
                  <from>
                    <xdr:col>4</xdr:col>
                    <xdr:colOff>142875</xdr:colOff>
                    <xdr:row>319</xdr:row>
                    <xdr:rowOff>9525</xdr:rowOff>
                  </from>
                  <to>
                    <xdr:col>4</xdr:col>
                    <xdr:colOff>381000</xdr:colOff>
                    <xdr:row>319</xdr:row>
                    <xdr:rowOff>200025</xdr:rowOff>
                  </to>
                </anchor>
              </controlPr>
            </control>
          </mc:Choice>
        </mc:AlternateContent>
        <mc:AlternateContent xmlns:mc="http://schemas.openxmlformats.org/markup-compatibility/2006">
          <mc:Choice Requires="x14">
            <control shapeId="157311" r:id="rId215" name="Check Box 24191">
              <controlPr defaultSize="0" autoFill="0" autoLine="0" autoPict="0">
                <anchor moveWithCells="1">
                  <from>
                    <xdr:col>4</xdr:col>
                    <xdr:colOff>142875</xdr:colOff>
                    <xdr:row>320</xdr:row>
                    <xdr:rowOff>9525</xdr:rowOff>
                  </from>
                  <to>
                    <xdr:col>4</xdr:col>
                    <xdr:colOff>381000</xdr:colOff>
                    <xdr:row>320</xdr:row>
                    <xdr:rowOff>200025</xdr:rowOff>
                  </to>
                </anchor>
              </controlPr>
            </control>
          </mc:Choice>
        </mc:AlternateContent>
        <mc:AlternateContent xmlns:mc="http://schemas.openxmlformats.org/markup-compatibility/2006">
          <mc:Choice Requires="x14">
            <control shapeId="157312" r:id="rId216" name="Check Box 24192">
              <controlPr defaultSize="0" autoFill="0" autoLine="0" autoPict="0">
                <anchor moveWithCells="1">
                  <from>
                    <xdr:col>4</xdr:col>
                    <xdr:colOff>142875</xdr:colOff>
                    <xdr:row>320</xdr:row>
                    <xdr:rowOff>9525</xdr:rowOff>
                  </from>
                  <to>
                    <xdr:col>4</xdr:col>
                    <xdr:colOff>381000</xdr:colOff>
                    <xdr:row>320</xdr:row>
                    <xdr:rowOff>200025</xdr:rowOff>
                  </to>
                </anchor>
              </controlPr>
            </control>
          </mc:Choice>
        </mc:AlternateContent>
        <mc:AlternateContent xmlns:mc="http://schemas.openxmlformats.org/markup-compatibility/2006">
          <mc:Choice Requires="x14">
            <control shapeId="157313" r:id="rId217" name="Check Box 24193">
              <controlPr locked="0" defaultSize="0" autoFill="0" autoLine="0" autoPict="0">
                <anchor moveWithCells="1">
                  <from>
                    <xdr:col>4</xdr:col>
                    <xdr:colOff>142875</xdr:colOff>
                    <xdr:row>320</xdr:row>
                    <xdr:rowOff>9525</xdr:rowOff>
                  </from>
                  <to>
                    <xdr:col>4</xdr:col>
                    <xdr:colOff>381000</xdr:colOff>
                    <xdr:row>320</xdr:row>
                    <xdr:rowOff>200025</xdr:rowOff>
                  </to>
                </anchor>
              </controlPr>
            </control>
          </mc:Choice>
        </mc:AlternateContent>
        <mc:AlternateContent xmlns:mc="http://schemas.openxmlformats.org/markup-compatibility/2006">
          <mc:Choice Requires="x14">
            <control shapeId="157314" r:id="rId218" name="Check Box 24194">
              <controlPr defaultSize="0" autoFill="0" autoLine="0" autoPict="0">
                <anchor moveWithCells="1">
                  <from>
                    <xdr:col>4</xdr:col>
                    <xdr:colOff>142875</xdr:colOff>
                    <xdr:row>321</xdr:row>
                    <xdr:rowOff>9525</xdr:rowOff>
                  </from>
                  <to>
                    <xdr:col>4</xdr:col>
                    <xdr:colOff>381000</xdr:colOff>
                    <xdr:row>321</xdr:row>
                    <xdr:rowOff>200025</xdr:rowOff>
                  </to>
                </anchor>
              </controlPr>
            </control>
          </mc:Choice>
        </mc:AlternateContent>
        <mc:AlternateContent xmlns:mc="http://schemas.openxmlformats.org/markup-compatibility/2006">
          <mc:Choice Requires="x14">
            <control shapeId="157315" r:id="rId219" name="Check Box 24195">
              <controlPr defaultSize="0" autoFill="0" autoLine="0" autoPict="0">
                <anchor moveWithCells="1">
                  <from>
                    <xdr:col>4</xdr:col>
                    <xdr:colOff>142875</xdr:colOff>
                    <xdr:row>321</xdr:row>
                    <xdr:rowOff>9525</xdr:rowOff>
                  </from>
                  <to>
                    <xdr:col>4</xdr:col>
                    <xdr:colOff>381000</xdr:colOff>
                    <xdr:row>321</xdr:row>
                    <xdr:rowOff>200025</xdr:rowOff>
                  </to>
                </anchor>
              </controlPr>
            </control>
          </mc:Choice>
        </mc:AlternateContent>
        <mc:AlternateContent xmlns:mc="http://schemas.openxmlformats.org/markup-compatibility/2006">
          <mc:Choice Requires="x14">
            <control shapeId="157316" r:id="rId220" name="Check Box 24196">
              <controlPr locked="0" defaultSize="0" autoFill="0" autoLine="0" autoPict="0">
                <anchor moveWithCells="1">
                  <from>
                    <xdr:col>4</xdr:col>
                    <xdr:colOff>142875</xdr:colOff>
                    <xdr:row>321</xdr:row>
                    <xdr:rowOff>9525</xdr:rowOff>
                  </from>
                  <to>
                    <xdr:col>4</xdr:col>
                    <xdr:colOff>381000</xdr:colOff>
                    <xdr:row>321</xdr:row>
                    <xdr:rowOff>200025</xdr:rowOff>
                  </to>
                </anchor>
              </controlPr>
            </control>
          </mc:Choice>
        </mc:AlternateContent>
        <mc:AlternateContent xmlns:mc="http://schemas.openxmlformats.org/markup-compatibility/2006">
          <mc:Choice Requires="x14">
            <control shapeId="157317" r:id="rId221" name="Check Box 24197">
              <controlPr defaultSize="0" autoFill="0" autoLine="0" autoPict="0">
                <anchor moveWithCells="1">
                  <from>
                    <xdr:col>4</xdr:col>
                    <xdr:colOff>142875</xdr:colOff>
                    <xdr:row>322</xdr:row>
                    <xdr:rowOff>9525</xdr:rowOff>
                  </from>
                  <to>
                    <xdr:col>4</xdr:col>
                    <xdr:colOff>381000</xdr:colOff>
                    <xdr:row>322</xdr:row>
                    <xdr:rowOff>200025</xdr:rowOff>
                  </to>
                </anchor>
              </controlPr>
            </control>
          </mc:Choice>
        </mc:AlternateContent>
        <mc:AlternateContent xmlns:mc="http://schemas.openxmlformats.org/markup-compatibility/2006">
          <mc:Choice Requires="x14">
            <control shapeId="157318" r:id="rId222" name="Check Box 24198">
              <controlPr defaultSize="0" autoFill="0" autoLine="0" autoPict="0">
                <anchor moveWithCells="1">
                  <from>
                    <xdr:col>4</xdr:col>
                    <xdr:colOff>142875</xdr:colOff>
                    <xdr:row>322</xdr:row>
                    <xdr:rowOff>9525</xdr:rowOff>
                  </from>
                  <to>
                    <xdr:col>4</xdr:col>
                    <xdr:colOff>381000</xdr:colOff>
                    <xdr:row>322</xdr:row>
                    <xdr:rowOff>200025</xdr:rowOff>
                  </to>
                </anchor>
              </controlPr>
            </control>
          </mc:Choice>
        </mc:AlternateContent>
        <mc:AlternateContent xmlns:mc="http://schemas.openxmlformats.org/markup-compatibility/2006">
          <mc:Choice Requires="x14">
            <control shapeId="157319" r:id="rId223" name="Check Box 24199">
              <controlPr locked="0" defaultSize="0" autoFill="0" autoLine="0" autoPict="0">
                <anchor moveWithCells="1">
                  <from>
                    <xdr:col>4</xdr:col>
                    <xdr:colOff>142875</xdr:colOff>
                    <xdr:row>322</xdr:row>
                    <xdr:rowOff>9525</xdr:rowOff>
                  </from>
                  <to>
                    <xdr:col>4</xdr:col>
                    <xdr:colOff>381000</xdr:colOff>
                    <xdr:row>322</xdr:row>
                    <xdr:rowOff>200025</xdr:rowOff>
                  </to>
                </anchor>
              </controlPr>
            </control>
          </mc:Choice>
        </mc:AlternateContent>
        <mc:AlternateContent xmlns:mc="http://schemas.openxmlformats.org/markup-compatibility/2006">
          <mc:Choice Requires="x14">
            <control shapeId="157320" r:id="rId224" name="Check Box 24200">
              <controlPr defaultSize="0" autoFill="0" autoLine="0" autoPict="0">
                <anchor moveWithCells="1">
                  <from>
                    <xdr:col>4</xdr:col>
                    <xdr:colOff>142875</xdr:colOff>
                    <xdr:row>323</xdr:row>
                    <xdr:rowOff>9525</xdr:rowOff>
                  </from>
                  <to>
                    <xdr:col>4</xdr:col>
                    <xdr:colOff>381000</xdr:colOff>
                    <xdr:row>323</xdr:row>
                    <xdr:rowOff>200025</xdr:rowOff>
                  </to>
                </anchor>
              </controlPr>
            </control>
          </mc:Choice>
        </mc:AlternateContent>
        <mc:AlternateContent xmlns:mc="http://schemas.openxmlformats.org/markup-compatibility/2006">
          <mc:Choice Requires="x14">
            <control shapeId="157321" r:id="rId225" name="Check Box 24201">
              <controlPr defaultSize="0" autoFill="0" autoLine="0" autoPict="0">
                <anchor moveWithCells="1">
                  <from>
                    <xdr:col>4</xdr:col>
                    <xdr:colOff>142875</xdr:colOff>
                    <xdr:row>323</xdr:row>
                    <xdr:rowOff>9525</xdr:rowOff>
                  </from>
                  <to>
                    <xdr:col>4</xdr:col>
                    <xdr:colOff>381000</xdr:colOff>
                    <xdr:row>323</xdr:row>
                    <xdr:rowOff>200025</xdr:rowOff>
                  </to>
                </anchor>
              </controlPr>
            </control>
          </mc:Choice>
        </mc:AlternateContent>
        <mc:AlternateContent xmlns:mc="http://schemas.openxmlformats.org/markup-compatibility/2006">
          <mc:Choice Requires="x14">
            <control shapeId="157322" r:id="rId226" name="Check Box 24202">
              <controlPr locked="0" defaultSize="0" autoFill="0" autoLine="0" autoPict="0">
                <anchor moveWithCells="1">
                  <from>
                    <xdr:col>4</xdr:col>
                    <xdr:colOff>142875</xdr:colOff>
                    <xdr:row>323</xdr:row>
                    <xdr:rowOff>9525</xdr:rowOff>
                  </from>
                  <to>
                    <xdr:col>4</xdr:col>
                    <xdr:colOff>381000</xdr:colOff>
                    <xdr:row>323</xdr:row>
                    <xdr:rowOff>200025</xdr:rowOff>
                  </to>
                </anchor>
              </controlPr>
            </control>
          </mc:Choice>
        </mc:AlternateContent>
        <mc:AlternateContent xmlns:mc="http://schemas.openxmlformats.org/markup-compatibility/2006">
          <mc:Choice Requires="x14">
            <control shapeId="157323" r:id="rId227" name="Check Box 24203">
              <controlPr defaultSize="0" autoFill="0" autoLine="0" autoPict="0">
                <anchor moveWithCells="1">
                  <from>
                    <xdr:col>4</xdr:col>
                    <xdr:colOff>142875</xdr:colOff>
                    <xdr:row>324</xdr:row>
                    <xdr:rowOff>9525</xdr:rowOff>
                  </from>
                  <to>
                    <xdr:col>4</xdr:col>
                    <xdr:colOff>381000</xdr:colOff>
                    <xdr:row>324</xdr:row>
                    <xdr:rowOff>200025</xdr:rowOff>
                  </to>
                </anchor>
              </controlPr>
            </control>
          </mc:Choice>
        </mc:AlternateContent>
        <mc:AlternateContent xmlns:mc="http://schemas.openxmlformats.org/markup-compatibility/2006">
          <mc:Choice Requires="x14">
            <control shapeId="157324" r:id="rId228" name="Check Box 24204">
              <controlPr defaultSize="0" autoFill="0" autoLine="0" autoPict="0">
                <anchor moveWithCells="1">
                  <from>
                    <xdr:col>4</xdr:col>
                    <xdr:colOff>142875</xdr:colOff>
                    <xdr:row>324</xdr:row>
                    <xdr:rowOff>9525</xdr:rowOff>
                  </from>
                  <to>
                    <xdr:col>4</xdr:col>
                    <xdr:colOff>381000</xdr:colOff>
                    <xdr:row>324</xdr:row>
                    <xdr:rowOff>200025</xdr:rowOff>
                  </to>
                </anchor>
              </controlPr>
            </control>
          </mc:Choice>
        </mc:AlternateContent>
        <mc:AlternateContent xmlns:mc="http://schemas.openxmlformats.org/markup-compatibility/2006">
          <mc:Choice Requires="x14">
            <control shapeId="157325" r:id="rId229" name="Check Box 24205">
              <controlPr locked="0" defaultSize="0" autoFill="0" autoLine="0" autoPict="0">
                <anchor moveWithCells="1">
                  <from>
                    <xdr:col>4</xdr:col>
                    <xdr:colOff>142875</xdr:colOff>
                    <xdr:row>324</xdr:row>
                    <xdr:rowOff>9525</xdr:rowOff>
                  </from>
                  <to>
                    <xdr:col>4</xdr:col>
                    <xdr:colOff>381000</xdr:colOff>
                    <xdr:row>324</xdr:row>
                    <xdr:rowOff>200025</xdr:rowOff>
                  </to>
                </anchor>
              </controlPr>
            </control>
          </mc:Choice>
        </mc:AlternateContent>
        <mc:AlternateContent xmlns:mc="http://schemas.openxmlformats.org/markup-compatibility/2006">
          <mc:Choice Requires="x14">
            <control shapeId="157326" r:id="rId230" name="Check Box 24206">
              <controlPr defaultSize="0" autoFill="0" autoLine="0" autoPict="0">
                <anchor moveWithCells="1">
                  <from>
                    <xdr:col>4</xdr:col>
                    <xdr:colOff>142875</xdr:colOff>
                    <xdr:row>325</xdr:row>
                    <xdr:rowOff>9525</xdr:rowOff>
                  </from>
                  <to>
                    <xdr:col>4</xdr:col>
                    <xdr:colOff>381000</xdr:colOff>
                    <xdr:row>325</xdr:row>
                    <xdr:rowOff>200025</xdr:rowOff>
                  </to>
                </anchor>
              </controlPr>
            </control>
          </mc:Choice>
        </mc:AlternateContent>
        <mc:AlternateContent xmlns:mc="http://schemas.openxmlformats.org/markup-compatibility/2006">
          <mc:Choice Requires="x14">
            <control shapeId="157327" r:id="rId231" name="Check Box 24207">
              <controlPr defaultSize="0" autoFill="0" autoLine="0" autoPict="0">
                <anchor moveWithCells="1">
                  <from>
                    <xdr:col>4</xdr:col>
                    <xdr:colOff>142875</xdr:colOff>
                    <xdr:row>325</xdr:row>
                    <xdr:rowOff>9525</xdr:rowOff>
                  </from>
                  <to>
                    <xdr:col>4</xdr:col>
                    <xdr:colOff>381000</xdr:colOff>
                    <xdr:row>325</xdr:row>
                    <xdr:rowOff>200025</xdr:rowOff>
                  </to>
                </anchor>
              </controlPr>
            </control>
          </mc:Choice>
        </mc:AlternateContent>
        <mc:AlternateContent xmlns:mc="http://schemas.openxmlformats.org/markup-compatibility/2006">
          <mc:Choice Requires="x14">
            <control shapeId="157328" r:id="rId232" name="Check Box 24208">
              <controlPr locked="0" defaultSize="0" autoFill="0" autoLine="0" autoPict="0">
                <anchor moveWithCells="1">
                  <from>
                    <xdr:col>4</xdr:col>
                    <xdr:colOff>142875</xdr:colOff>
                    <xdr:row>325</xdr:row>
                    <xdr:rowOff>9525</xdr:rowOff>
                  </from>
                  <to>
                    <xdr:col>4</xdr:col>
                    <xdr:colOff>381000</xdr:colOff>
                    <xdr:row>325</xdr:row>
                    <xdr:rowOff>200025</xdr:rowOff>
                  </to>
                </anchor>
              </controlPr>
            </control>
          </mc:Choice>
        </mc:AlternateContent>
        <mc:AlternateContent xmlns:mc="http://schemas.openxmlformats.org/markup-compatibility/2006">
          <mc:Choice Requires="x14">
            <control shapeId="157329" r:id="rId233" name="Check Box 24209">
              <controlPr defaultSize="0" autoFill="0" autoLine="0" autoPict="0">
                <anchor moveWithCells="1">
                  <from>
                    <xdr:col>4</xdr:col>
                    <xdr:colOff>142875</xdr:colOff>
                    <xdr:row>326</xdr:row>
                    <xdr:rowOff>9525</xdr:rowOff>
                  </from>
                  <to>
                    <xdr:col>4</xdr:col>
                    <xdr:colOff>381000</xdr:colOff>
                    <xdr:row>326</xdr:row>
                    <xdr:rowOff>200025</xdr:rowOff>
                  </to>
                </anchor>
              </controlPr>
            </control>
          </mc:Choice>
        </mc:AlternateContent>
        <mc:AlternateContent xmlns:mc="http://schemas.openxmlformats.org/markup-compatibility/2006">
          <mc:Choice Requires="x14">
            <control shapeId="157330" r:id="rId234" name="Check Box 24210">
              <controlPr defaultSize="0" autoFill="0" autoLine="0" autoPict="0">
                <anchor moveWithCells="1">
                  <from>
                    <xdr:col>4</xdr:col>
                    <xdr:colOff>142875</xdr:colOff>
                    <xdr:row>326</xdr:row>
                    <xdr:rowOff>9525</xdr:rowOff>
                  </from>
                  <to>
                    <xdr:col>4</xdr:col>
                    <xdr:colOff>381000</xdr:colOff>
                    <xdr:row>326</xdr:row>
                    <xdr:rowOff>200025</xdr:rowOff>
                  </to>
                </anchor>
              </controlPr>
            </control>
          </mc:Choice>
        </mc:AlternateContent>
        <mc:AlternateContent xmlns:mc="http://schemas.openxmlformats.org/markup-compatibility/2006">
          <mc:Choice Requires="x14">
            <control shapeId="157331" r:id="rId235" name="Check Box 24211">
              <controlPr locked="0" defaultSize="0" autoFill="0" autoLine="0" autoPict="0">
                <anchor moveWithCells="1">
                  <from>
                    <xdr:col>4</xdr:col>
                    <xdr:colOff>142875</xdr:colOff>
                    <xdr:row>326</xdr:row>
                    <xdr:rowOff>9525</xdr:rowOff>
                  </from>
                  <to>
                    <xdr:col>4</xdr:col>
                    <xdr:colOff>381000</xdr:colOff>
                    <xdr:row>326</xdr:row>
                    <xdr:rowOff>200025</xdr:rowOff>
                  </to>
                </anchor>
              </controlPr>
            </control>
          </mc:Choice>
        </mc:AlternateContent>
        <mc:AlternateContent xmlns:mc="http://schemas.openxmlformats.org/markup-compatibility/2006">
          <mc:Choice Requires="x14">
            <control shapeId="157332" r:id="rId236" name="Check Box 24212">
              <controlPr defaultSize="0" autoFill="0" autoLine="0" autoPict="0">
                <anchor moveWithCells="1">
                  <from>
                    <xdr:col>4</xdr:col>
                    <xdr:colOff>142875</xdr:colOff>
                    <xdr:row>327</xdr:row>
                    <xdr:rowOff>9525</xdr:rowOff>
                  </from>
                  <to>
                    <xdr:col>4</xdr:col>
                    <xdr:colOff>381000</xdr:colOff>
                    <xdr:row>327</xdr:row>
                    <xdr:rowOff>200025</xdr:rowOff>
                  </to>
                </anchor>
              </controlPr>
            </control>
          </mc:Choice>
        </mc:AlternateContent>
        <mc:AlternateContent xmlns:mc="http://schemas.openxmlformats.org/markup-compatibility/2006">
          <mc:Choice Requires="x14">
            <control shapeId="157333" r:id="rId237" name="Check Box 24213">
              <controlPr defaultSize="0" autoFill="0" autoLine="0" autoPict="0">
                <anchor moveWithCells="1">
                  <from>
                    <xdr:col>4</xdr:col>
                    <xdr:colOff>142875</xdr:colOff>
                    <xdr:row>327</xdr:row>
                    <xdr:rowOff>9525</xdr:rowOff>
                  </from>
                  <to>
                    <xdr:col>4</xdr:col>
                    <xdr:colOff>381000</xdr:colOff>
                    <xdr:row>327</xdr:row>
                    <xdr:rowOff>200025</xdr:rowOff>
                  </to>
                </anchor>
              </controlPr>
            </control>
          </mc:Choice>
        </mc:AlternateContent>
        <mc:AlternateContent xmlns:mc="http://schemas.openxmlformats.org/markup-compatibility/2006">
          <mc:Choice Requires="x14">
            <control shapeId="157334" r:id="rId238" name="Check Box 24214">
              <controlPr locked="0" defaultSize="0" autoFill="0" autoLine="0" autoPict="0">
                <anchor moveWithCells="1">
                  <from>
                    <xdr:col>4</xdr:col>
                    <xdr:colOff>142875</xdr:colOff>
                    <xdr:row>327</xdr:row>
                    <xdr:rowOff>9525</xdr:rowOff>
                  </from>
                  <to>
                    <xdr:col>4</xdr:col>
                    <xdr:colOff>381000</xdr:colOff>
                    <xdr:row>327</xdr:row>
                    <xdr:rowOff>200025</xdr:rowOff>
                  </to>
                </anchor>
              </controlPr>
            </control>
          </mc:Choice>
        </mc:AlternateContent>
        <mc:AlternateContent xmlns:mc="http://schemas.openxmlformats.org/markup-compatibility/2006">
          <mc:Choice Requires="x14">
            <control shapeId="157335" r:id="rId239" name="Check Box 24215">
              <controlPr defaultSize="0" autoFill="0" autoLine="0" autoPict="0">
                <anchor moveWithCells="1">
                  <from>
                    <xdr:col>4</xdr:col>
                    <xdr:colOff>142875</xdr:colOff>
                    <xdr:row>328</xdr:row>
                    <xdr:rowOff>9525</xdr:rowOff>
                  </from>
                  <to>
                    <xdr:col>4</xdr:col>
                    <xdr:colOff>381000</xdr:colOff>
                    <xdr:row>328</xdr:row>
                    <xdr:rowOff>200025</xdr:rowOff>
                  </to>
                </anchor>
              </controlPr>
            </control>
          </mc:Choice>
        </mc:AlternateContent>
        <mc:AlternateContent xmlns:mc="http://schemas.openxmlformats.org/markup-compatibility/2006">
          <mc:Choice Requires="x14">
            <control shapeId="157336" r:id="rId240" name="Check Box 24216">
              <controlPr defaultSize="0" autoFill="0" autoLine="0" autoPict="0">
                <anchor moveWithCells="1">
                  <from>
                    <xdr:col>4</xdr:col>
                    <xdr:colOff>142875</xdr:colOff>
                    <xdr:row>328</xdr:row>
                    <xdr:rowOff>9525</xdr:rowOff>
                  </from>
                  <to>
                    <xdr:col>4</xdr:col>
                    <xdr:colOff>381000</xdr:colOff>
                    <xdr:row>328</xdr:row>
                    <xdr:rowOff>200025</xdr:rowOff>
                  </to>
                </anchor>
              </controlPr>
            </control>
          </mc:Choice>
        </mc:AlternateContent>
        <mc:AlternateContent xmlns:mc="http://schemas.openxmlformats.org/markup-compatibility/2006">
          <mc:Choice Requires="x14">
            <control shapeId="157337" r:id="rId241" name="Check Box 24217">
              <controlPr locked="0" defaultSize="0" autoFill="0" autoLine="0" autoPict="0">
                <anchor moveWithCells="1">
                  <from>
                    <xdr:col>4</xdr:col>
                    <xdr:colOff>142875</xdr:colOff>
                    <xdr:row>328</xdr:row>
                    <xdr:rowOff>9525</xdr:rowOff>
                  </from>
                  <to>
                    <xdr:col>4</xdr:col>
                    <xdr:colOff>381000</xdr:colOff>
                    <xdr:row>328</xdr:row>
                    <xdr:rowOff>200025</xdr:rowOff>
                  </to>
                </anchor>
              </controlPr>
            </control>
          </mc:Choice>
        </mc:AlternateContent>
        <mc:AlternateContent xmlns:mc="http://schemas.openxmlformats.org/markup-compatibility/2006">
          <mc:Choice Requires="x14">
            <control shapeId="157338" r:id="rId242" name="Check Box 24218">
              <controlPr defaultSize="0" autoFill="0" autoLine="0" autoPict="0">
                <anchor moveWithCells="1">
                  <from>
                    <xdr:col>4</xdr:col>
                    <xdr:colOff>142875</xdr:colOff>
                    <xdr:row>329</xdr:row>
                    <xdr:rowOff>9525</xdr:rowOff>
                  </from>
                  <to>
                    <xdr:col>4</xdr:col>
                    <xdr:colOff>381000</xdr:colOff>
                    <xdr:row>329</xdr:row>
                    <xdr:rowOff>200025</xdr:rowOff>
                  </to>
                </anchor>
              </controlPr>
            </control>
          </mc:Choice>
        </mc:AlternateContent>
        <mc:AlternateContent xmlns:mc="http://schemas.openxmlformats.org/markup-compatibility/2006">
          <mc:Choice Requires="x14">
            <control shapeId="157339" r:id="rId243" name="Check Box 24219">
              <controlPr defaultSize="0" autoFill="0" autoLine="0" autoPict="0">
                <anchor moveWithCells="1">
                  <from>
                    <xdr:col>4</xdr:col>
                    <xdr:colOff>142875</xdr:colOff>
                    <xdr:row>329</xdr:row>
                    <xdr:rowOff>9525</xdr:rowOff>
                  </from>
                  <to>
                    <xdr:col>4</xdr:col>
                    <xdr:colOff>381000</xdr:colOff>
                    <xdr:row>329</xdr:row>
                    <xdr:rowOff>200025</xdr:rowOff>
                  </to>
                </anchor>
              </controlPr>
            </control>
          </mc:Choice>
        </mc:AlternateContent>
        <mc:AlternateContent xmlns:mc="http://schemas.openxmlformats.org/markup-compatibility/2006">
          <mc:Choice Requires="x14">
            <control shapeId="157340" r:id="rId244" name="Check Box 24220">
              <controlPr locked="0" defaultSize="0" autoFill="0" autoLine="0" autoPict="0">
                <anchor moveWithCells="1">
                  <from>
                    <xdr:col>4</xdr:col>
                    <xdr:colOff>142875</xdr:colOff>
                    <xdr:row>329</xdr:row>
                    <xdr:rowOff>9525</xdr:rowOff>
                  </from>
                  <to>
                    <xdr:col>4</xdr:col>
                    <xdr:colOff>381000</xdr:colOff>
                    <xdr:row>329</xdr:row>
                    <xdr:rowOff>200025</xdr:rowOff>
                  </to>
                </anchor>
              </controlPr>
            </control>
          </mc:Choice>
        </mc:AlternateContent>
        <mc:AlternateContent xmlns:mc="http://schemas.openxmlformats.org/markup-compatibility/2006">
          <mc:Choice Requires="x14">
            <control shapeId="157341" r:id="rId245" name="Check Box 24221">
              <controlPr defaultSize="0" autoFill="0" autoLine="0" autoPict="0">
                <anchor moveWithCells="1">
                  <from>
                    <xdr:col>4</xdr:col>
                    <xdr:colOff>142875</xdr:colOff>
                    <xdr:row>330</xdr:row>
                    <xdr:rowOff>9525</xdr:rowOff>
                  </from>
                  <to>
                    <xdr:col>4</xdr:col>
                    <xdr:colOff>381000</xdr:colOff>
                    <xdr:row>330</xdr:row>
                    <xdr:rowOff>200025</xdr:rowOff>
                  </to>
                </anchor>
              </controlPr>
            </control>
          </mc:Choice>
        </mc:AlternateContent>
        <mc:AlternateContent xmlns:mc="http://schemas.openxmlformats.org/markup-compatibility/2006">
          <mc:Choice Requires="x14">
            <control shapeId="157342" r:id="rId246" name="Check Box 24222">
              <controlPr defaultSize="0" autoFill="0" autoLine="0" autoPict="0">
                <anchor moveWithCells="1">
                  <from>
                    <xdr:col>4</xdr:col>
                    <xdr:colOff>142875</xdr:colOff>
                    <xdr:row>330</xdr:row>
                    <xdr:rowOff>9525</xdr:rowOff>
                  </from>
                  <to>
                    <xdr:col>4</xdr:col>
                    <xdr:colOff>381000</xdr:colOff>
                    <xdr:row>330</xdr:row>
                    <xdr:rowOff>200025</xdr:rowOff>
                  </to>
                </anchor>
              </controlPr>
            </control>
          </mc:Choice>
        </mc:AlternateContent>
        <mc:AlternateContent xmlns:mc="http://schemas.openxmlformats.org/markup-compatibility/2006">
          <mc:Choice Requires="x14">
            <control shapeId="157343" r:id="rId247" name="Check Box 24223">
              <controlPr locked="0" defaultSize="0" autoFill="0" autoLine="0" autoPict="0">
                <anchor moveWithCells="1">
                  <from>
                    <xdr:col>4</xdr:col>
                    <xdr:colOff>142875</xdr:colOff>
                    <xdr:row>330</xdr:row>
                    <xdr:rowOff>9525</xdr:rowOff>
                  </from>
                  <to>
                    <xdr:col>4</xdr:col>
                    <xdr:colOff>381000</xdr:colOff>
                    <xdr:row>330</xdr:row>
                    <xdr:rowOff>200025</xdr:rowOff>
                  </to>
                </anchor>
              </controlPr>
            </control>
          </mc:Choice>
        </mc:AlternateContent>
        <mc:AlternateContent xmlns:mc="http://schemas.openxmlformats.org/markup-compatibility/2006">
          <mc:Choice Requires="x14">
            <control shapeId="157344" r:id="rId248" name="Check Box 24224">
              <controlPr defaultSize="0" autoFill="0" autoLine="0" autoPict="0">
                <anchor moveWithCells="1">
                  <from>
                    <xdr:col>4</xdr:col>
                    <xdr:colOff>142875</xdr:colOff>
                    <xdr:row>331</xdr:row>
                    <xdr:rowOff>9525</xdr:rowOff>
                  </from>
                  <to>
                    <xdr:col>4</xdr:col>
                    <xdr:colOff>381000</xdr:colOff>
                    <xdr:row>331</xdr:row>
                    <xdr:rowOff>200025</xdr:rowOff>
                  </to>
                </anchor>
              </controlPr>
            </control>
          </mc:Choice>
        </mc:AlternateContent>
        <mc:AlternateContent xmlns:mc="http://schemas.openxmlformats.org/markup-compatibility/2006">
          <mc:Choice Requires="x14">
            <control shapeId="157345" r:id="rId249" name="Check Box 24225">
              <controlPr defaultSize="0" autoFill="0" autoLine="0" autoPict="0">
                <anchor moveWithCells="1">
                  <from>
                    <xdr:col>4</xdr:col>
                    <xdr:colOff>142875</xdr:colOff>
                    <xdr:row>331</xdr:row>
                    <xdr:rowOff>9525</xdr:rowOff>
                  </from>
                  <to>
                    <xdr:col>4</xdr:col>
                    <xdr:colOff>381000</xdr:colOff>
                    <xdr:row>331</xdr:row>
                    <xdr:rowOff>200025</xdr:rowOff>
                  </to>
                </anchor>
              </controlPr>
            </control>
          </mc:Choice>
        </mc:AlternateContent>
        <mc:AlternateContent xmlns:mc="http://schemas.openxmlformats.org/markup-compatibility/2006">
          <mc:Choice Requires="x14">
            <control shapeId="157346" r:id="rId250" name="Check Box 24226">
              <controlPr locked="0" defaultSize="0" autoFill="0" autoLine="0" autoPict="0">
                <anchor moveWithCells="1">
                  <from>
                    <xdr:col>4</xdr:col>
                    <xdr:colOff>142875</xdr:colOff>
                    <xdr:row>331</xdr:row>
                    <xdr:rowOff>9525</xdr:rowOff>
                  </from>
                  <to>
                    <xdr:col>4</xdr:col>
                    <xdr:colOff>381000</xdr:colOff>
                    <xdr:row>331</xdr:row>
                    <xdr:rowOff>200025</xdr:rowOff>
                  </to>
                </anchor>
              </controlPr>
            </control>
          </mc:Choice>
        </mc:AlternateContent>
        <mc:AlternateContent xmlns:mc="http://schemas.openxmlformats.org/markup-compatibility/2006">
          <mc:Choice Requires="x14">
            <control shapeId="157347" r:id="rId251" name="Check Box 24227">
              <controlPr defaultSize="0" autoFill="0" autoLine="0" autoPict="0">
                <anchor moveWithCells="1">
                  <from>
                    <xdr:col>4</xdr:col>
                    <xdr:colOff>142875</xdr:colOff>
                    <xdr:row>332</xdr:row>
                    <xdr:rowOff>9525</xdr:rowOff>
                  </from>
                  <to>
                    <xdr:col>4</xdr:col>
                    <xdr:colOff>381000</xdr:colOff>
                    <xdr:row>332</xdr:row>
                    <xdr:rowOff>200025</xdr:rowOff>
                  </to>
                </anchor>
              </controlPr>
            </control>
          </mc:Choice>
        </mc:AlternateContent>
        <mc:AlternateContent xmlns:mc="http://schemas.openxmlformats.org/markup-compatibility/2006">
          <mc:Choice Requires="x14">
            <control shapeId="157348" r:id="rId252" name="Check Box 24228">
              <controlPr defaultSize="0" autoFill="0" autoLine="0" autoPict="0">
                <anchor moveWithCells="1">
                  <from>
                    <xdr:col>4</xdr:col>
                    <xdr:colOff>142875</xdr:colOff>
                    <xdr:row>332</xdr:row>
                    <xdr:rowOff>9525</xdr:rowOff>
                  </from>
                  <to>
                    <xdr:col>4</xdr:col>
                    <xdr:colOff>381000</xdr:colOff>
                    <xdr:row>332</xdr:row>
                    <xdr:rowOff>200025</xdr:rowOff>
                  </to>
                </anchor>
              </controlPr>
            </control>
          </mc:Choice>
        </mc:AlternateContent>
        <mc:AlternateContent xmlns:mc="http://schemas.openxmlformats.org/markup-compatibility/2006">
          <mc:Choice Requires="x14">
            <control shapeId="157349" r:id="rId253" name="Check Box 24229">
              <controlPr locked="0" defaultSize="0" autoFill="0" autoLine="0" autoPict="0">
                <anchor moveWithCells="1">
                  <from>
                    <xdr:col>4</xdr:col>
                    <xdr:colOff>142875</xdr:colOff>
                    <xdr:row>332</xdr:row>
                    <xdr:rowOff>9525</xdr:rowOff>
                  </from>
                  <to>
                    <xdr:col>4</xdr:col>
                    <xdr:colOff>381000</xdr:colOff>
                    <xdr:row>332</xdr:row>
                    <xdr:rowOff>200025</xdr:rowOff>
                  </to>
                </anchor>
              </controlPr>
            </control>
          </mc:Choice>
        </mc:AlternateContent>
        <mc:AlternateContent xmlns:mc="http://schemas.openxmlformats.org/markup-compatibility/2006">
          <mc:Choice Requires="x14">
            <control shapeId="157350" r:id="rId254" name="Check Box 24230">
              <controlPr defaultSize="0" autoFill="0" autoLine="0" autoPict="0">
                <anchor moveWithCells="1">
                  <from>
                    <xdr:col>4</xdr:col>
                    <xdr:colOff>142875</xdr:colOff>
                    <xdr:row>333</xdr:row>
                    <xdr:rowOff>9525</xdr:rowOff>
                  </from>
                  <to>
                    <xdr:col>4</xdr:col>
                    <xdr:colOff>381000</xdr:colOff>
                    <xdr:row>333</xdr:row>
                    <xdr:rowOff>200025</xdr:rowOff>
                  </to>
                </anchor>
              </controlPr>
            </control>
          </mc:Choice>
        </mc:AlternateContent>
        <mc:AlternateContent xmlns:mc="http://schemas.openxmlformats.org/markup-compatibility/2006">
          <mc:Choice Requires="x14">
            <control shapeId="157351" r:id="rId255" name="Check Box 24231">
              <controlPr locked="0" defaultSize="0" autoFill="0" autoLine="0" autoPict="0">
                <anchor moveWithCells="1">
                  <from>
                    <xdr:col>4</xdr:col>
                    <xdr:colOff>142875</xdr:colOff>
                    <xdr:row>333</xdr:row>
                    <xdr:rowOff>9525</xdr:rowOff>
                  </from>
                  <to>
                    <xdr:col>4</xdr:col>
                    <xdr:colOff>381000</xdr:colOff>
                    <xdr:row>333</xdr:row>
                    <xdr:rowOff>200025</xdr:rowOff>
                  </to>
                </anchor>
              </controlPr>
            </control>
          </mc:Choice>
        </mc:AlternateContent>
        <mc:AlternateContent xmlns:mc="http://schemas.openxmlformats.org/markup-compatibility/2006">
          <mc:Choice Requires="x14">
            <control shapeId="183268" r:id="rId256" name="Drop Down 35812">
              <controlPr defaultSize="0" autoLine="0" autoPict="0">
                <anchor moveWithCells="1">
                  <from>
                    <xdr:col>3</xdr:col>
                    <xdr:colOff>9525</xdr:colOff>
                    <xdr:row>304</xdr:row>
                    <xdr:rowOff>9525</xdr:rowOff>
                  </from>
                  <to>
                    <xdr:col>3</xdr:col>
                    <xdr:colOff>485775</xdr:colOff>
                    <xdr:row>304</xdr:row>
                    <xdr:rowOff>180975</xdr:rowOff>
                  </to>
                </anchor>
              </controlPr>
            </control>
          </mc:Choice>
        </mc:AlternateContent>
        <mc:AlternateContent xmlns:mc="http://schemas.openxmlformats.org/markup-compatibility/2006">
          <mc:Choice Requires="x14">
            <control shapeId="186470" r:id="rId257" name="Drop Down 35942">
              <controlPr defaultSize="0" autoLine="0" autoPict="0">
                <anchor moveWithCells="1">
                  <from>
                    <xdr:col>3</xdr:col>
                    <xdr:colOff>9525</xdr:colOff>
                    <xdr:row>305</xdr:row>
                    <xdr:rowOff>9525</xdr:rowOff>
                  </from>
                  <to>
                    <xdr:col>3</xdr:col>
                    <xdr:colOff>485775</xdr:colOff>
                    <xdr:row>305</xdr:row>
                    <xdr:rowOff>180975</xdr:rowOff>
                  </to>
                </anchor>
              </controlPr>
            </control>
          </mc:Choice>
        </mc:AlternateContent>
        <mc:AlternateContent xmlns:mc="http://schemas.openxmlformats.org/markup-compatibility/2006">
          <mc:Choice Requires="x14">
            <control shapeId="186471" r:id="rId258" name="Drop Down 35943">
              <controlPr defaultSize="0" autoLine="0" autoPict="0">
                <anchor moveWithCells="1">
                  <from>
                    <xdr:col>3</xdr:col>
                    <xdr:colOff>9525</xdr:colOff>
                    <xdr:row>306</xdr:row>
                    <xdr:rowOff>9525</xdr:rowOff>
                  </from>
                  <to>
                    <xdr:col>3</xdr:col>
                    <xdr:colOff>485775</xdr:colOff>
                    <xdr:row>306</xdr:row>
                    <xdr:rowOff>180975</xdr:rowOff>
                  </to>
                </anchor>
              </controlPr>
            </control>
          </mc:Choice>
        </mc:AlternateContent>
        <mc:AlternateContent xmlns:mc="http://schemas.openxmlformats.org/markup-compatibility/2006">
          <mc:Choice Requires="x14">
            <control shapeId="186472" r:id="rId259" name="Drop Down 35944">
              <controlPr defaultSize="0" autoLine="0" autoPict="0">
                <anchor moveWithCells="1">
                  <from>
                    <xdr:col>3</xdr:col>
                    <xdr:colOff>9525</xdr:colOff>
                    <xdr:row>307</xdr:row>
                    <xdr:rowOff>9525</xdr:rowOff>
                  </from>
                  <to>
                    <xdr:col>3</xdr:col>
                    <xdr:colOff>485775</xdr:colOff>
                    <xdr:row>307</xdr:row>
                    <xdr:rowOff>180975</xdr:rowOff>
                  </to>
                </anchor>
              </controlPr>
            </control>
          </mc:Choice>
        </mc:AlternateContent>
        <mc:AlternateContent xmlns:mc="http://schemas.openxmlformats.org/markup-compatibility/2006">
          <mc:Choice Requires="x14">
            <control shapeId="186473" r:id="rId260" name="Drop Down 35945">
              <controlPr defaultSize="0" autoLine="0" autoPict="0">
                <anchor moveWithCells="1">
                  <from>
                    <xdr:col>3</xdr:col>
                    <xdr:colOff>9525</xdr:colOff>
                    <xdr:row>308</xdr:row>
                    <xdr:rowOff>9525</xdr:rowOff>
                  </from>
                  <to>
                    <xdr:col>3</xdr:col>
                    <xdr:colOff>485775</xdr:colOff>
                    <xdr:row>308</xdr:row>
                    <xdr:rowOff>180975</xdr:rowOff>
                  </to>
                </anchor>
              </controlPr>
            </control>
          </mc:Choice>
        </mc:AlternateContent>
        <mc:AlternateContent xmlns:mc="http://schemas.openxmlformats.org/markup-compatibility/2006">
          <mc:Choice Requires="x14">
            <control shapeId="186474" r:id="rId261" name="Drop Down 35946">
              <controlPr defaultSize="0" autoLine="0" autoPict="0">
                <anchor moveWithCells="1">
                  <from>
                    <xdr:col>3</xdr:col>
                    <xdr:colOff>9525</xdr:colOff>
                    <xdr:row>309</xdr:row>
                    <xdr:rowOff>9525</xdr:rowOff>
                  </from>
                  <to>
                    <xdr:col>3</xdr:col>
                    <xdr:colOff>485775</xdr:colOff>
                    <xdr:row>309</xdr:row>
                    <xdr:rowOff>180975</xdr:rowOff>
                  </to>
                </anchor>
              </controlPr>
            </control>
          </mc:Choice>
        </mc:AlternateContent>
        <mc:AlternateContent xmlns:mc="http://schemas.openxmlformats.org/markup-compatibility/2006">
          <mc:Choice Requires="x14">
            <control shapeId="186475" r:id="rId262" name="Drop Down 35947">
              <controlPr defaultSize="0" autoLine="0" autoPict="0">
                <anchor moveWithCells="1">
                  <from>
                    <xdr:col>3</xdr:col>
                    <xdr:colOff>9525</xdr:colOff>
                    <xdr:row>310</xdr:row>
                    <xdr:rowOff>9525</xdr:rowOff>
                  </from>
                  <to>
                    <xdr:col>3</xdr:col>
                    <xdr:colOff>485775</xdr:colOff>
                    <xdr:row>310</xdr:row>
                    <xdr:rowOff>180975</xdr:rowOff>
                  </to>
                </anchor>
              </controlPr>
            </control>
          </mc:Choice>
        </mc:AlternateContent>
        <mc:AlternateContent xmlns:mc="http://schemas.openxmlformats.org/markup-compatibility/2006">
          <mc:Choice Requires="x14">
            <control shapeId="186476" r:id="rId263" name="Drop Down 35948">
              <controlPr defaultSize="0" autoLine="0" autoPict="0">
                <anchor moveWithCells="1">
                  <from>
                    <xdr:col>3</xdr:col>
                    <xdr:colOff>9525</xdr:colOff>
                    <xdr:row>311</xdr:row>
                    <xdr:rowOff>9525</xdr:rowOff>
                  </from>
                  <to>
                    <xdr:col>3</xdr:col>
                    <xdr:colOff>485775</xdr:colOff>
                    <xdr:row>311</xdr:row>
                    <xdr:rowOff>180975</xdr:rowOff>
                  </to>
                </anchor>
              </controlPr>
            </control>
          </mc:Choice>
        </mc:AlternateContent>
        <mc:AlternateContent xmlns:mc="http://schemas.openxmlformats.org/markup-compatibility/2006">
          <mc:Choice Requires="x14">
            <control shapeId="186477" r:id="rId264" name="Drop Down 35949">
              <controlPr defaultSize="0" autoLine="0" autoPict="0">
                <anchor moveWithCells="1">
                  <from>
                    <xdr:col>3</xdr:col>
                    <xdr:colOff>9525</xdr:colOff>
                    <xdr:row>312</xdr:row>
                    <xdr:rowOff>9525</xdr:rowOff>
                  </from>
                  <to>
                    <xdr:col>3</xdr:col>
                    <xdr:colOff>485775</xdr:colOff>
                    <xdr:row>312</xdr:row>
                    <xdr:rowOff>180975</xdr:rowOff>
                  </to>
                </anchor>
              </controlPr>
            </control>
          </mc:Choice>
        </mc:AlternateContent>
        <mc:AlternateContent xmlns:mc="http://schemas.openxmlformats.org/markup-compatibility/2006">
          <mc:Choice Requires="x14">
            <control shapeId="186478" r:id="rId265" name="Drop Down 35950">
              <controlPr defaultSize="0" autoLine="0" autoPict="0">
                <anchor moveWithCells="1">
                  <from>
                    <xdr:col>3</xdr:col>
                    <xdr:colOff>9525</xdr:colOff>
                    <xdr:row>313</xdr:row>
                    <xdr:rowOff>9525</xdr:rowOff>
                  </from>
                  <to>
                    <xdr:col>3</xdr:col>
                    <xdr:colOff>485775</xdr:colOff>
                    <xdr:row>313</xdr:row>
                    <xdr:rowOff>180975</xdr:rowOff>
                  </to>
                </anchor>
              </controlPr>
            </control>
          </mc:Choice>
        </mc:AlternateContent>
        <mc:AlternateContent xmlns:mc="http://schemas.openxmlformats.org/markup-compatibility/2006">
          <mc:Choice Requires="x14">
            <control shapeId="186479" r:id="rId266" name="Drop Down 35951">
              <controlPr defaultSize="0" autoLine="0" autoPict="0">
                <anchor moveWithCells="1">
                  <from>
                    <xdr:col>3</xdr:col>
                    <xdr:colOff>9525</xdr:colOff>
                    <xdr:row>314</xdr:row>
                    <xdr:rowOff>9525</xdr:rowOff>
                  </from>
                  <to>
                    <xdr:col>3</xdr:col>
                    <xdr:colOff>485775</xdr:colOff>
                    <xdr:row>314</xdr:row>
                    <xdr:rowOff>180975</xdr:rowOff>
                  </to>
                </anchor>
              </controlPr>
            </control>
          </mc:Choice>
        </mc:AlternateContent>
        <mc:AlternateContent xmlns:mc="http://schemas.openxmlformats.org/markup-compatibility/2006">
          <mc:Choice Requires="x14">
            <control shapeId="186480" r:id="rId267" name="Drop Down 35952">
              <controlPr defaultSize="0" autoLine="0" autoPict="0">
                <anchor moveWithCells="1">
                  <from>
                    <xdr:col>3</xdr:col>
                    <xdr:colOff>9525</xdr:colOff>
                    <xdr:row>315</xdr:row>
                    <xdr:rowOff>9525</xdr:rowOff>
                  </from>
                  <to>
                    <xdr:col>3</xdr:col>
                    <xdr:colOff>485775</xdr:colOff>
                    <xdr:row>315</xdr:row>
                    <xdr:rowOff>180975</xdr:rowOff>
                  </to>
                </anchor>
              </controlPr>
            </control>
          </mc:Choice>
        </mc:AlternateContent>
        <mc:AlternateContent xmlns:mc="http://schemas.openxmlformats.org/markup-compatibility/2006">
          <mc:Choice Requires="x14">
            <control shapeId="186481" r:id="rId268" name="Drop Down 35953">
              <controlPr defaultSize="0" autoLine="0" autoPict="0">
                <anchor moveWithCells="1">
                  <from>
                    <xdr:col>3</xdr:col>
                    <xdr:colOff>9525</xdr:colOff>
                    <xdr:row>316</xdr:row>
                    <xdr:rowOff>9525</xdr:rowOff>
                  </from>
                  <to>
                    <xdr:col>3</xdr:col>
                    <xdr:colOff>485775</xdr:colOff>
                    <xdr:row>316</xdr:row>
                    <xdr:rowOff>180975</xdr:rowOff>
                  </to>
                </anchor>
              </controlPr>
            </control>
          </mc:Choice>
        </mc:AlternateContent>
        <mc:AlternateContent xmlns:mc="http://schemas.openxmlformats.org/markup-compatibility/2006">
          <mc:Choice Requires="x14">
            <control shapeId="186482" r:id="rId269" name="Drop Down 35954">
              <controlPr defaultSize="0" autoLine="0" autoPict="0">
                <anchor moveWithCells="1">
                  <from>
                    <xdr:col>3</xdr:col>
                    <xdr:colOff>9525</xdr:colOff>
                    <xdr:row>317</xdr:row>
                    <xdr:rowOff>9525</xdr:rowOff>
                  </from>
                  <to>
                    <xdr:col>3</xdr:col>
                    <xdr:colOff>485775</xdr:colOff>
                    <xdr:row>317</xdr:row>
                    <xdr:rowOff>180975</xdr:rowOff>
                  </to>
                </anchor>
              </controlPr>
            </control>
          </mc:Choice>
        </mc:AlternateContent>
        <mc:AlternateContent xmlns:mc="http://schemas.openxmlformats.org/markup-compatibility/2006">
          <mc:Choice Requires="x14">
            <control shapeId="186483" r:id="rId270" name="Drop Down 35955">
              <controlPr defaultSize="0" autoLine="0" autoPict="0">
                <anchor moveWithCells="1">
                  <from>
                    <xdr:col>3</xdr:col>
                    <xdr:colOff>9525</xdr:colOff>
                    <xdr:row>318</xdr:row>
                    <xdr:rowOff>9525</xdr:rowOff>
                  </from>
                  <to>
                    <xdr:col>3</xdr:col>
                    <xdr:colOff>485775</xdr:colOff>
                    <xdr:row>318</xdr:row>
                    <xdr:rowOff>180975</xdr:rowOff>
                  </to>
                </anchor>
              </controlPr>
            </control>
          </mc:Choice>
        </mc:AlternateContent>
        <mc:AlternateContent xmlns:mc="http://schemas.openxmlformats.org/markup-compatibility/2006">
          <mc:Choice Requires="x14">
            <control shapeId="186484" r:id="rId271" name="Drop Down 35956">
              <controlPr defaultSize="0" autoLine="0" autoPict="0">
                <anchor moveWithCells="1">
                  <from>
                    <xdr:col>3</xdr:col>
                    <xdr:colOff>9525</xdr:colOff>
                    <xdr:row>319</xdr:row>
                    <xdr:rowOff>9525</xdr:rowOff>
                  </from>
                  <to>
                    <xdr:col>3</xdr:col>
                    <xdr:colOff>485775</xdr:colOff>
                    <xdr:row>319</xdr:row>
                    <xdr:rowOff>180975</xdr:rowOff>
                  </to>
                </anchor>
              </controlPr>
            </control>
          </mc:Choice>
        </mc:AlternateContent>
        <mc:AlternateContent xmlns:mc="http://schemas.openxmlformats.org/markup-compatibility/2006">
          <mc:Choice Requires="x14">
            <control shapeId="186485" r:id="rId272" name="Drop Down 35957">
              <controlPr defaultSize="0" autoLine="0" autoPict="0">
                <anchor moveWithCells="1">
                  <from>
                    <xdr:col>3</xdr:col>
                    <xdr:colOff>9525</xdr:colOff>
                    <xdr:row>320</xdr:row>
                    <xdr:rowOff>9525</xdr:rowOff>
                  </from>
                  <to>
                    <xdr:col>3</xdr:col>
                    <xdr:colOff>485775</xdr:colOff>
                    <xdr:row>320</xdr:row>
                    <xdr:rowOff>180975</xdr:rowOff>
                  </to>
                </anchor>
              </controlPr>
            </control>
          </mc:Choice>
        </mc:AlternateContent>
        <mc:AlternateContent xmlns:mc="http://schemas.openxmlformats.org/markup-compatibility/2006">
          <mc:Choice Requires="x14">
            <control shapeId="186486" r:id="rId273" name="Drop Down 35958">
              <controlPr defaultSize="0" autoLine="0" autoPict="0">
                <anchor moveWithCells="1">
                  <from>
                    <xdr:col>3</xdr:col>
                    <xdr:colOff>9525</xdr:colOff>
                    <xdr:row>321</xdr:row>
                    <xdr:rowOff>9525</xdr:rowOff>
                  </from>
                  <to>
                    <xdr:col>3</xdr:col>
                    <xdr:colOff>485775</xdr:colOff>
                    <xdr:row>321</xdr:row>
                    <xdr:rowOff>180975</xdr:rowOff>
                  </to>
                </anchor>
              </controlPr>
            </control>
          </mc:Choice>
        </mc:AlternateContent>
        <mc:AlternateContent xmlns:mc="http://schemas.openxmlformats.org/markup-compatibility/2006">
          <mc:Choice Requires="x14">
            <control shapeId="186487" r:id="rId274" name="Drop Down 35959">
              <controlPr defaultSize="0" autoLine="0" autoPict="0">
                <anchor moveWithCells="1">
                  <from>
                    <xdr:col>3</xdr:col>
                    <xdr:colOff>9525</xdr:colOff>
                    <xdr:row>322</xdr:row>
                    <xdr:rowOff>9525</xdr:rowOff>
                  </from>
                  <to>
                    <xdr:col>3</xdr:col>
                    <xdr:colOff>485775</xdr:colOff>
                    <xdr:row>322</xdr:row>
                    <xdr:rowOff>180975</xdr:rowOff>
                  </to>
                </anchor>
              </controlPr>
            </control>
          </mc:Choice>
        </mc:AlternateContent>
        <mc:AlternateContent xmlns:mc="http://schemas.openxmlformats.org/markup-compatibility/2006">
          <mc:Choice Requires="x14">
            <control shapeId="186488" r:id="rId275" name="Drop Down 35960">
              <controlPr defaultSize="0" autoLine="0" autoPict="0">
                <anchor moveWithCells="1">
                  <from>
                    <xdr:col>3</xdr:col>
                    <xdr:colOff>9525</xdr:colOff>
                    <xdr:row>323</xdr:row>
                    <xdr:rowOff>9525</xdr:rowOff>
                  </from>
                  <to>
                    <xdr:col>3</xdr:col>
                    <xdr:colOff>485775</xdr:colOff>
                    <xdr:row>323</xdr:row>
                    <xdr:rowOff>180975</xdr:rowOff>
                  </to>
                </anchor>
              </controlPr>
            </control>
          </mc:Choice>
        </mc:AlternateContent>
        <mc:AlternateContent xmlns:mc="http://schemas.openxmlformats.org/markup-compatibility/2006">
          <mc:Choice Requires="x14">
            <control shapeId="186489" r:id="rId276" name="Drop Down 35961">
              <controlPr defaultSize="0" autoLine="0" autoPict="0">
                <anchor moveWithCells="1">
                  <from>
                    <xdr:col>3</xdr:col>
                    <xdr:colOff>9525</xdr:colOff>
                    <xdr:row>324</xdr:row>
                    <xdr:rowOff>9525</xdr:rowOff>
                  </from>
                  <to>
                    <xdr:col>3</xdr:col>
                    <xdr:colOff>485775</xdr:colOff>
                    <xdr:row>324</xdr:row>
                    <xdr:rowOff>180975</xdr:rowOff>
                  </to>
                </anchor>
              </controlPr>
            </control>
          </mc:Choice>
        </mc:AlternateContent>
        <mc:AlternateContent xmlns:mc="http://schemas.openxmlformats.org/markup-compatibility/2006">
          <mc:Choice Requires="x14">
            <control shapeId="186490" r:id="rId277" name="Drop Down 35962">
              <controlPr defaultSize="0" autoLine="0" autoPict="0">
                <anchor moveWithCells="1">
                  <from>
                    <xdr:col>3</xdr:col>
                    <xdr:colOff>9525</xdr:colOff>
                    <xdr:row>325</xdr:row>
                    <xdr:rowOff>9525</xdr:rowOff>
                  </from>
                  <to>
                    <xdr:col>3</xdr:col>
                    <xdr:colOff>485775</xdr:colOff>
                    <xdr:row>325</xdr:row>
                    <xdr:rowOff>180975</xdr:rowOff>
                  </to>
                </anchor>
              </controlPr>
            </control>
          </mc:Choice>
        </mc:AlternateContent>
        <mc:AlternateContent xmlns:mc="http://schemas.openxmlformats.org/markup-compatibility/2006">
          <mc:Choice Requires="x14">
            <control shapeId="186491" r:id="rId278" name="Drop Down 35963">
              <controlPr defaultSize="0" autoLine="0" autoPict="0">
                <anchor moveWithCells="1">
                  <from>
                    <xdr:col>3</xdr:col>
                    <xdr:colOff>9525</xdr:colOff>
                    <xdr:row>326</xdr:row>
                    <xdr:rowOff>9525</xdr:rowOff>
                  </from>
                  <to>
                    <xdr:col>3</xdr:col>
                    <xdr:colOff>485775</xdr:colOff>
                    <xdr:row>326</xdr:row>
                    <xdr:rowOff>180975</xdr:rowOff>
                  </to>
                </anchor>
              </controlPr>
            </control>
          </mc:Choice>
        </mc:AlternateContent>
        <mc:AlternateContent xmlns:mc="http://schemas.openxmlformats.org/markup-compatibility/2006">
          <mc:Choice Requires="x14">
            <control shapeId="186492" r:id="rId279" name="Drop Down 35964">
              <controlPr defaultSize="0" autoLine="0" autoPict="0">
                <anchor moveWithCells="1">
                  <from>
                    <xdr:col>3</xdr:col>
                    <xdr:colOff>9525</xdr:colOff>
                    <xdr:row>327</xdr:row>
                    <xdr:rowOff>9525</xdr:rowOff>
                  </from>
                  <to>
                    <xdr:col>3</xdr:col>
                    <xdr:colOff>485775</xdr:colOff>
                    <xdr:row>327</xdr:row>
                    <xdr:rowOff>180975</xdr:rowOff>
                  </to>
                </anchor>
              </controlPr>
            </control>
          </mc:Choice>
        </mc:AlternateContent>
        <mc:AlternateContent xmlns:mc="http://schemas.openxmlformats.org/markup-compatibility/2006">
          <mc:Choice Requires="x14">
            <control shapeId="186493" r:id="rId280" name="Drop Down 35965">
              <controlPr defaultSize="0" autoLine="0" autoPict="0">
                <anchor moveWithCells="1">
                  <from>
                    <xdr:col>3</xdr:col>
                    <xdr:colOff>9525</xdr:colOff>
                    <xdr:row>328</xdr:row>
                    <xdr:rowOff>9525</xdr:rowOff>
                  </from>
                  <to>
                    <xdr:col>3</xdr:col>
                    <xdr:colOff>485775</xdr:colOff>
                    <xdr:row>328</xdr:row>
                    <xdr:rowOff>180975</xdr:rowOff>
                  </to>
                </anchor>
              </controlPr>
            </control>
          </mc:Choice>
        </mc:AlternateContent>
        <mc:AlternateContent xmlns:mc="http://schemas.openxmlformats.org/markup-compatibility/2006">
          <mc:Choice Requires="x14">
            <control shapeId="186494" r:id="rId281" name="Drop Down 35966">
              <controlPr defaultSize="0" autoLine="0" autoPict="0">
                <anchor moveWithCells="1">
                  <from>
                    <xdr:col>3</xdr:col>
                    <xdr:colOff>9525</xdr:colOff>
                    <xdr:row>329</xdr:row>
                    <xdr:rowOff>9525</xdr:rowOff>
                  </from>
                  <to>
                    <xdr:col>3</xdr:col>
                    <xdr:colOff>485775</xdr:colOff>
                    <xdr:row>329</xdr:row>
                    <xdr:rowOff>180975</xdr:rowOff>
                  </to>
                </anchor>
              </controlPr>
            </control>
          </mc:Choice>
        </mc:AlternateContent>
        <mc:AlternateContent xmlns:mc="http://schemas.openxmlformats.org/markup-compatibility/2006">
          <mc:Choice Requires="x14">
            <control shapeId="186495" r:id="rId282" name="Drop Down 35967">
              <controlPr defaultSize="0" autoLine="0" autoPict="0">
                <anchor moveWithCells="1">
                  <from>
                    <xdr:col>3</xdr:col>
                    <xdr:colOff>9525</xdr:colOff>
                    <xdr:row>330</xdr:row>
                    <xdr:rowOff>9525</xdr:rowOff>
                  </from>
                  <to>
                    <xdr:col>3</xdr:col>
                    <xdr:colOff>485775</xdr:colOff>
                    <xdr:row>330</xdr:row>
                    <xdr:rowOff>180975</xdr:rowOff>
                  </to>
                </anchor>
              </controlPr>
            </control>
          </mc:Choice>
        </mc:AlternateContent>
        <mc:AlternateContent xmlns:mc="http://schemas.openxmlformats.org/markup-compatibility/2006">
          <mc:Choice Requires="x14">
            <control shapeId="186496" r:id="rId283" name="Drop Down 35968">
              <controlPr defaultSize="0" autoLine="0" autoPict="0">
                <anchor moveWithCells="1">
                  <from>
                    <xdr:col>3</xdr:col>
                    <xdr:colOff>9525</xdr:colOff>
                    <xdr:row>331</xdr:row>
                    <xdr:rowOff>9525</xdr:rowOff>
                  </from>
                  <to>
                    <xdr:col>3</xdr:col>
                    <xdr:colOff>485775</xdr:colOff>
                    <xdr:row>331</xdr:row>
                    <xdr:rowOff>180975</xdr:rowOff>
                  </to>
                </anchor>
              </controlPr>
            </control>
          </mc:Choice>
        </mc:AlternateContent>
        <mc:AlternateContent xmlns:mc="http://schemas.openxmlformats.org/markup-compatibility/2006">
          <mc:Choice Requires="x14">
            <control shapeId="186497" r:id="rId284" name="Drop Down 35969">
              <controlPr defaultSize="0" autoLine="0" autoPict="0">
                <anchor moveWithCells="1">
                  <from>
                    <xdr:col>3</xdr:col>
                    <xdr:colOff>9525</xdr:colOff>
                    <xdr:row>332</xdr:row>
                    <xdr:rowOff>9525</xdr:rowOff>
                  </from>
                  <to>
                    <xdr:col>3</xdr:col>
                    <xdr:colOff>485775</xdr:colOff>
                    <xdr:row>332</xdr:row>
                    <xdr:rowOff>180975</xdr:rowOff>
                  </to>
                </anchor>
              </controlPr>
            </control>
          </mc:Choice>
        </mc:AlternateContent>
        <mc:AlternateContent xmlns:mc="http://schemas.openxmlformats.org/markup-compatibility/2006">
          <mc:Choice Requires="x14">
            <control shapeId="186498" r:id="rId285" name="Drop Down 35970">
              <controlPr defaultSize="0" autoLine="0" autoPict="0">
                <anchor moveWithCells="1">
                  <from>
                    <xdr:col>3</xdr:col>
                    <xdr:colOff>9525</xdr:colOff>
                    <xdr:row>333</xdr:row>
                    <xdr:rowOff>9525</xdr:rowOff>
                  </from>
                  <to>
                    <xdr:col>3</xdr:col>
                    <xdr:colOff>485775</xdr:colOff>
                    <xdr:row>333</xdr:row>
                    <xdr:rowOff>180975</xdr:rowOff>
                  </to>
                </anchor>
              </controlPr>
            </control>
          </mc:Choice>
        </mc:AlternateContent>
        <mc:AlternateContent xmlns:mc="http://schemas.openxmlformats.org/markup-compatibility/2006">
          <mc:Choice Requires="x14">
            <control shapeId="190402" r:id="rId286" name="Drop Down 37826">
              <controlPr defaultSize="0" autoLine="0" autoPict="0">
                <anchor moveWithCells="1">
                  <from>
                    <xdr:col>4</xdr:col>
                    <xdr:colOff>19050</xdr:colOff>
                    <xdr:row>4</xdr:row>
                    <xdr:rowOff>9525</xdr:rowOff>
                  </from>
                  <to>
                    <xdr:col>5</xdr:col>
                    <xdr:colOff>200025</xdr:colOff>
                    <xdr:row>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BN172"/>
  <sheetViews>
    <sheetView workbookViewId="0">
      <pane xSplit="1" ySplit="4" topLeftCell="B5" activePane="bottomRight" state="frozen"/>
      <selection activeCell="AM60" sqref="AM60"/>
      <selection pane="topRight" activeCell="AM60" sqref="AM60"/>
      <selection pane="bottomLeft" activeCell="AM60" sqref="AM60"/>
      <selection pane="bottomRight" activeCell="AB39" sqref="AB39"/>
    </sheetView>
  </sheetViews>
  <sheetFormatPr baseColWidth="10" defaultRowHeight="12.75" x14ac:dyDescent="0.2"/>
  <cols>
    <col min="1" max="1" width="28.7109375" style="993" customWidth="1"/>
    <col min="2" max="2" width="14.85546875" style="993" customWidth="1"/>
    <col min="3" max="3" width="7.85546875" style="730" customWidth="1"/>
    <col min="4" max="4" width="10.7109375" style="756" customWidth="1"/>
    <col min="5" max="5" width="10.85546875" style="730" customWidth="1"/>
    <col min="6" max="6" width="11.140625" style="730" customWidth="1"/>
    <col min="7" max="7" width="9.85546875" style="994" customWidth="1"/>
    <col min="8" max="8" width="9.140625" style="730" customWidth="1"/>
    <col min="9" max="9" width="10.42578125" style="756" customWidth="1"/>
    <col min="10" max="10" width="13.85546875" style="993" customWidth="1"/>
    <col min="11" max="11" width="5.140625" style="719" customWidth="1"/>
    <col min="12" max="16" width="5.7109375" style="993" customWidth="1"/>
    <col min="17" max="26" width="5.7109375" style="719" customWidth="1"/>
    <col min="27" max="27" width="7.140625" style="993" customWidth="1"/>
    <col min="28" max="28" width="7.28515625" style="719" customWidth="1"/>
    <col min="29" max="29" width="6.42578125" style="719" customWidth="1"/>
    <col min="30" max="30" width="6.28515625" style="784" customWidth="1"/>
    <col min="31" max="31" width="9" style="719" customWidth="1"/>
    <col min="32" max="32" width="6.7109375" style="970" customWidth="1"/>
    <col min="33" max="33" width="7.140625" style="995" customWidth="1"/>
    <col min="34" max="34" width="22.42578125" style="995" customWidth="1"/>
    <col min="35" max="42" width="7.140625" style="995" customWidth="1"/>
    <col min="43" max="46" width="6" style="995" customWidth="1"/>
    <col min="47" max="47" width="7.85546875" style="970" customWidth="1"/>
    <col min="48" max="48" width="7.85546875" style="1011" customWidth="1"/>
    <col min="49" max="52" width="7.140625" style="995" customWidth="1"/>
    <col min="53" max="53" width="7.85546875" style="1011" customWidth="1"/>
    <col min="54" max="54" width="7.85546875" style="970" customWidth="1"/>
    <col min="55" max="55" width="11.28515625" style="1011" customWidth="1"/>
    <col min="56" max="56" width="7.85546875" style="970" customWidth="1"/>
    <col min="57" max="62" width="13.42578125" style="970" customWidth="1"/>
    <col min="63" max="63" width="11.42578125" style="730" customWidth="1"/>
  </cols>
  <sheetData>
    <row r="1" spans="1:66" ht="13.5" thickBot="1" x14ac:dyDescent="0.25">
      <c r="A1" s="704" t="s">
        <v>563</v>
      </c>
      <c r="B1" s="704" t="s">
        <v>564</v>
      </c>
      <c r="C1" s="705" t="s">
        <v>565</v>
      </c>
      <c r="D1" s="705" t="s">
        <v>566</v>
      </c>
      <c r="E1" s="705" t="s">
        <v>567</v>
      </c>
      <c r="F1" s="705" t="s">
        <v>568</v>
      </c>
      <c r="G1" s="704" t="s">
        <v>569</v>
      </c>
      <c r="H1" s="705" t="s">
        <v>570</v>
      </c>
      <c r="I1" s="705" t="s">
        <v>571</v>
      </c>
      <c r="J1" s="704" t="s">
        <v>572</v>
      </c>
      <c r="K1" s="704" t="s">
        <v>573</v>
      </c>
      <c r="L1" s="704" t="s">
        <v>574</v>
      </c>
      <c r="M1" s="704" t="s">
        <v>575</v>
      </c>
      <c r="N1" s="704" t="s">
        <v>576</v>
      </c>
      <c r="O1" s="704" t="s">
        <v>577</v>
      </c>
      <c r="P1" s="704" t="s">
        <v>578</v>
      </c>
      <c r="Q1" s="704" t="s">
        <v>579</v>
      </c>
      <c r="R1" s="704" t="s">
        <v>580</v>
      </c>
      <c r="S1" s="704" t="s">
        <v>581</v>
      </c>
      <c r="T1" s="704" t="s">
        <v>582</v>
      </c>
      <c r="U1" s="704" t="s">
        <v>583</v>
      </c>
      <c r="V1" s="704" t="s">
        <v>584</v>
      </c>
      <c r="W1" s="704" t="s">
        <v>585</v>
      </c>
      <c r="X1" s="704" t="s">
        <v>586</v>
      </c>
      <c r="Y1" s="704" t="s">
        <v>587</v>
      </c>
      <c r="Z1" s="704" t="s">
        <v>588</v>
      </c>
      <c r="AA1" s="704" t="s">
        <v>589</v>
      </c>
      <c r="AB1" s="704" t="s">
        <v>590</v>
      </c>
      <c r="AC1" s="704" t="s">
        <v>591</v>
      </c>
      <c r="AD1" s="705" t="s">
        <v>592</v>
      </c>
      <c r="AE1" s="704" t="s">
        <v>593</v>
      </c>
      <c r="AF1" s="706" t="s">
        <v>594</v>
      </c>
      <c r="AG1" s="706" t="s">
        <v>595</v>
      </c>
      <c r="AH1" s="706" t="s">
        <v>596</v>
      </c>
      <c r="AI1" s="707"/>
      <c r="AJ1" s="706" t="s">
        <v>597</v>
      </c>
      <c r="AK1" s="706" t="s">
        <v>598</v>
      </c>
      <c r="AL1" s="706" t="s">
        <v>599</v>
      </c>
      <c r="AM1" s="706" t="s">
        <v>600</v>
      </c>
      <c r="AN1" s="706" t="s">
        <v>601</v>
      </c>
      <c r="AO1" s="706" t="s">
        <v>602</v>
      </c>
      <c r="AP1" s="706" t="s">
        <v>603</v>
      </c>
      <c r="AQ1" s="706" t="s">
        <v>604</v>
      </c>
      <c r="AR1" s="706" t="s">
        <v>605</v>
      </c>
      <c r="AS1" s="706" t="s">
        <v>606</v>
      </c>
      <c r="AT1" s="706" t="s">
        <v>607</v>
      </c>
      <c r="AU1" s="706" t="s">
        <v>608</v>
      </c>
      <c r="AV1" s="996" t="s">
        <v>609</v>
      </c>
      <c r="AW1" s="706" t="s">
        <v>610</v>
      </c>
      <c r="AX1" s="706" t="s">
        <v>611</v>
      </c>
      <c r="AY1" s="706" t="s">
        <v>612</v>
      </c>
      <c r="AZ1" s="706" t="s">
        <v>598</v>
      </c>
      <c r="BA1" s="996" t="s">
        <v>613</v>
      </c>
      <c r="BB1" s="706" t="s">
        <v>614</v>
      </c>
      <c r="BC1" s="996" t="s">
        <v>615</v>
      </c>
      <c r="BD1" s="706" t="s">
        <v>616</v>
      </c>
      <c r="BE1" s="706" t="s">
        <v>617</v>
      </c>
      <c r="BF1" s="706" t="s">
        <v>618</v>
      </c>
      <c r="BG1" s="706" t="s">
        <v>619</v>
      </c>
      <c r="BH1" s="706" t="s">
        <v>620</v>
      </c>
      <c r="BI1" s="706" t="s">
        <v>621</v>
      </c>
      <c r="BJ1" s="706" t="s">
        <v>622</v>
      </c>
      <c r="BK1" s="708" t="s">
        <v>623</v>
      </c>
    </row>
    <row r="2" spans="1:66" ht="15.75" thickBot="1" x14ac:dyDescent="0.25">
      <c r="A2" s="709"/>
      <c r="B2" s="710" t="s">
        <v>624</v>
      </c>
      <c r="C2" s="711" t="s">
        <v>625</v>
      </c>
      <c r="D2" s="712" t="s">
        <v>626</v>
      </c>
      <c r="E2" s="713" t="s">
        <v>627</v>
      </c>
      <c r="F2" s="714" t="s">
        <v>628</v>
      </c>
      <c r="G2" s="713" t="s">
        <v>629</v>
      </c>
      <c r="H2" s="715" t="s">
        <v>630</v>
      </c>
      <c r="I2" s="716" t="s">
        <v>631</v>
      </c>
      <c r="J2" s="709"/>
      <c r="K2" s="710" t="s">
        <v>221</v>
      </c>
      <c r="L2" s="717" t="s">
        <v>632</v>
      </c>
      <c r="M2" s="718"/>
      <c r="N2" s="718"/>
      <c r="O2" s="718"/>
      <c r="P2" s="718"/>
      <c r="Q2" s="717" t="s">
        <v>633</v>
      </c>
      <c r="R2" s="718"/>
      <c r="S2" s="718"/>
      <c r="T2" s="718"/>
      <c r="U2" s="718"/>
      <c r="V2" s="718" t="s">
        <v>633</v>
      </c>
      <c r="Y2" s="720"/>
      <c r="Z2" s="720"/>
      <c r="AA2" s="710" t="s">
        <v>634</v>
      </c>
      <c r="AB2" s="721" t="s">
        <v>635</v>
      </c>
      <c r="AC2" s="722" t="s">
        <v>636</v>
      </c>
      <c r="AD2" s="723" t="s">
        <v>637</v>
      </c>
      <c r="AE2" s="724" t="s">
        <v>638</v>
      </c>
      <c r="AF2" s="723" t="s">
        <v>639</v>
      </c>
      <c r="AG2" s="725"/>
      <c r="AH2" s="725"/>
      <c r="AI2" s="725"/>
      <c r="AJ2" s="726" t="s">
        <v>634</v>
      </c>
      <c r="AK2" s="726" t="s">
        <v>634</v>
      </c>
      <c r="AL2" s="726" t="s">
        <v>634</v>
      </c>
      <c r="AM2" s="726" t="s">
        <v>634</v>
      </c>
      <c r="AN2" s="726"/>
      <c r="AO2" s="726"/>
      <c r="AP2" s="726"/>
      <c r="AQ2" s="2389" t="s">
        <v>640</v>
      </c>
      <c r="AR2" s="2390"/>
      <c r="AS2" s="2390"/>
      <c r="AT2" s="2391"/>
      <c r="AU2" s="2392" t="s">
        <v>641</v>
      </c>
      <c r="AV2" s="997"/>
      <c r="AW2" s="727" t="s">
        <v>642</v>
      </c>
      <c r="AX2" s="727" t="s">
        <v>642</v>
      </c>
      <c r="AY2" s="727" t="s">
        <v>642</v>
      </c>
      <c r="AZ2" s="727" t="s">
        <v>643</v>
      </c>
      <c r="BA2" s="2395" t="s">
        <v>644</v>
      </c>
      <c r="BB2" s="2396"/>
      <c r="BC2" s="1021" t="s">
        <v>645</v>
      </c>
      <c r="BD2" s="2397" t="s">
        <v>646</v>
      </c>
      <c r="BE2" s="2398"/>
      <c r="BF2" s="729"/>
      <c r="BG2" s="729"/>
      <c r="BH2" s="729"/>
      <c r="BI2" s="729"/>
      <c r="BJ2" s="729"/>
    </row>
    <row r="3" spans="1:66" ht="68.25" x14ac:dyDescent="0.25">
      <c r="A3" s="731" t="s">
        <v>49</v>
      </c>
      <c r="B3" s="731" t="s">
        <v>100</v>
      </c>
      <c r="C3" s="711" t="s">
        <v>647</v>
      </c>
      <c r="D3" s="732" t="s">
        <v>648</v>
      </c>
      <c r="E3" s="714" t="s">
        <v>649</v>
      </c>
      <c r="F3" s="733"/>
      <c r="G3" s="734"/>
      <c r="H3" s="712" t="s">
        <v>650</v>
      </c>
      <c r="I3" s="735" t="s">
        <v>630</v>
      </c>
      <c r="J3" s="731" t="s">
        <v>651</v>
      </c>
      <c r="K3" s="736" t="s">
        <v>225</v>
      </c>
      <c r="L3" s="737" t="s">
        <v>652</v>
      </c>
      <c r="M3" s="738"/>
      <c r="N3" s="738"/>
      <c r="O3" s="738"/>
      <c r="P3" s="738"/>
      <c r="Q3" s="739" t="s">
        <v>653</v>
      </c>
      <c r="R3" s="740" t="s">
        <v>653</v>
      </c>
      <c r="S3" s="740" t="s">
        <v>653</v>
      </c>
      <c r="T3" s="740" t="s">
        <v>653</v>
      </c>
      <c r="U3" s="740" t="s">
        <v>653</v>
      </c>
      <c r="V3" s="741" t="s">
        <v>654</v>
      </c>
      <c r="W3" s="740" t="s">
        <v>654</v>
      </c>
      <c r="X3" s="740" t="s">
        <v>654</v>
      </c>
      <c r="Y3" s="740" t="s">
        <v>654</v>
      </c>
      <c r="Z3" s="740" t="s">
        <v>654</v>
      </c>
      <c r="AA3" s="742" t="s">
        <v>655</v>
      </c>
      <c r="AB3" s="743" t="s">
        <v>656</v>
      </c>
      <c r="AC3" s="744" t="s">
        <v>657</v>
      </c>
      <c r="AD3" s="745" t="s">
        <v>658</v>
      </c>
      <c r="AE3" s="746" t="s">
        <v>659</v>
      </c>
      <c r="AF3" s="745" t="s">
        <v>660</v>
      </c>
      <c r="AG3" s="725" t="s">
        <v>661</v>
      </c>
      <c r="AH3" s="725" t="s">
        <v>662</v>
      </c>
      <c r="AI3" s="725" t="s">
        <v>663</v>
      </c>
      <c r="AJ3" s="747" t="s">
        <v>664</v>
      </c>
      <c r="AK3" s="747" t="s">
        <v>655</v>
      </c>
      <c r="AL3" s="747" t="s">
        <v>665</v>
      </c>
      <c r="AM3" s="747" t="s">
        <v>666</v>
      </c>
      <c r="AN3" s="747" t="s">
        <v>667</v>
      </c>
      <c r="AO3" s="747" t="s">
        <v>668</v>
      </c>
      <c r="AP3" s="747" t="s">
        <v>669</v>
      </c>
      <c r="AQ3" s="748" t="s">
        <v>670</v>
      </c>
      <c r="AR3" s="749" t="s">
        <v>634</v>
      </c>
      <c r="AS3" s="750" t="s">
        <v>671</v>
      </c>
      <c r="AT3" s="751" t="s">
        <v>669</v>
      </c>
      <c r="AU3" s="2393"/>
      <c r="AV3" s="998" t="s">
        <v>672</v>
      </c>
      <c r="AW3" s="752" t="s">
        <v>634</v>
      </c>
      <c r="AX3" s="752" t="s">
        <v>634</v>
      </c>
      <c r="AY3" s="752" t="s">
        <v>673</v>
      </c>
      <c r="AZ3" s="752"/>
      <c r="BA3" s="1012" t="s">
        <v>674</v>
      </c>
      <c r="BB3" s="753"/>
      <c r="BC3" s="1022" t="s">
        <v>675</v>
      </c>
      <c r="BD3" s="2399"/>
      <c r="BE3" s="2400"/>
      <c r="BF3" s="754" t="s">
        <v>676</v>
      </c>
      <c r="BG3" s="754" t="s">
        <v>677</v>
      </c>
      <c r="BH3" s="754" t="s">
        <v>678</v>
      </c>
      <c r="BI3" s="754" t="s">
        <v>679</v>
      </c>
      <c r="BJ3" s="754" t="s">
        <v>680</v>
      </c>
      <c r="BK3" s="1069" t="s">
        <v>681</v>
      </c>
      <c r="BL3" s="1070" t="s">
        <v>905</v>
      </c>
      <c r="BM3" s="1112" t="s">
        <v>974</v>
      </c>
      <c r="BN3" s="1112" t="s">
        <v>505</v>
      </c>
    </row>
    <row r="4" spans="1:66" ht="15.75" thickBot="1" x14ac:dyDescent="0.3">
      <c r="A4" s="755"/>
      <c r="B4" s="755"/>
      <c r="G4" s="757"/>
      <c r="I4" s="758"/>
      <c r="J4" s="755"/>
      <c r="K4" s="759" t="s">
        <v>2</v>
      </c>
      <c r="L4" s="760" t="s">
        <v>4</v>
      </c>
      <c r="M4" s="761" t="s">
        <v>274</v>
      </c>
      <c r="N4" s="761" t="s">
        <v>682</v>
      </c>
      <c r="O4" s="761" t="s">
        <v>275</v>
      </c>
      <c r="P4" s="761" t="s">
        <v>683</v>
      </c>
      <c r="Q4" s="762" t="s">
        <v>4</v>
      </c>
      <c r="R4" s="761" t="s">
        <v>274</v>
      </c>
      <c r="S4" s="763" t="s">
        <v>682</v>
      </c>
      <c r="T4" s="761" t="s">
        <v>275</v>
      </c>
      <c r="U4" s="761" t="s">
        <v>683</v>
      </c>
      <c r="V4" s="764" t="s">
        <v>4</v>
      </c>
      <c r="W4" s="761" t="s">
        <v>274</v>
      </c>
      <c r="X4" s="763" t="s">
        <v>682</v>
      </c>
      <c r="Y4" s="761" t="s">
        <v>275</v>
      </c>
      <c r="Z4" s="761" t="s">
        <v>683</v>
      </c>
      <c r="AA4" s="759" t="s">
        <v>684</v>
      </c>
      <c r="AB4" s="765" t="s">
        <v>685</v>
      </c>
      <c r="AC4" s="766" t="s">
        <v>542</v>
      </c>
      <c r="AD4" s="767"/>
      <c r="AE4" s="768" t="s">
        <v>686</v>
      </c>
      <c r="AF4" s="768"/>
      <c r="AG4" s="769"/>
      <c r="AH4" s="769"/>
      <c r="AI4" s="769"/>
      <c r="AJ4" s="770" t="s">
        <v>687</v>
      </c>
      <c r="AK4" s="770" t="s">
        <v>687</v>
      </c>
      <c r="AL4" s="770" t="s">
        <v>687</v>
      </c>
      <c r="AM4" s="770" t="s">
        <v>687</v>
      </c>
      <c r="AN4" s="770" t="s">
        <v>687</v>
      </c>
      <c r="AO4" s="770" t="s">
        <v>687</v>
      </c>
      <c r="AP4" s="770" t="s">
        <v>687</v>
      </c>
      <c r="AQ4" s="771"/>
      <c r="AR4" s="772" t="s">
        <v>666</v>
      </c>
      <c r="AS4" s="772"/>
      <c r="AT4" s="773"/>
      <c r="AU4" s="2394"/>
      <c r="AV4" s="999"/>
      <c r="AW4" s="774" t="s">
        <v>655</v>
      </c>
      <c r="AX4" s="774" t="s">
        <v>665</v>
      </c>
      <c r="AY4" s="774" t="s">
        <v>688</v>
      </c>
      <c r="AZ4" s="774"/>
      <c r="BA4" s="1013" t="s">
        <v>689</v>
      </c>
      <c r="BB4" s="775" t="s">
        <v>690</v>
      </c>
      <c r="BC4" s="1023" t="s">
        <v>36</v>
      </c>
      <c r="BD4" s="776" t="s">
        <v>691</v>
      </c>
      <c r="BE4" s="777" t="s">
        <v>692</v>
      </c>
      <c r="BF4" s="754" t="s">
        <v>693</v>
      </c>
      <c r="BG4" s="754" t="s">
        <v>694</v>
      </c>
      <c r="BH4" s="754" t="s">
        <v>695</v>
      </c>
      <c r="BI4" s="754"/>
      <c r="BJ4" s="754"/>
      <c r="BL4" s="34" t="s">
        <v>906</v>
      </c>
    </row>
    <row r="5" spans="1:66" ht="13.5" thickBot="1" x14ac:dyDescent="0.25">
      <c r="A5" s="778"/>
      <c r="B5" s="778"/>
      <c r="C5" s="779"/>
      <c r="D5" s="779"/>
      <c r="E5" s="779"/>
      <c r="F5" s="778"/>
      <c r="G5" s="778"/>
      <c r="H5" s="779"/>
      <c r="I5" s="778"/>
      <c r="J5" s="778"/>
      <c r="K5" s="778">
        <v>0</v>
      </c>
      <c r="L5" s="778"/>
      <c r="M5" s="778">
        <v>0</v>
      </c>
      <c r="N5" s="778"/>
      <c r="O5" s="778">
        <v>0</v>
      </c>
      <c r="P5" s="778"/>
      <c r="Q5" s="778"/>
      <c r="R5" s="778"/>
      <c r="S5" s="778"/>
      <c r="T5" s="778"/>
      <c r="U5" s="778"/>
      <c r="V5" s="778"/>
      <c r="W5" s="778"/>
      <c r="X5" s="778"/>
      <c r="Y5" s="778"/>
      <c r="Z5" s="778"/>
      <c r="AA5" s="778"/>
      <c r="AB5" s="780"/>
      <c r="AC5" s="778"/>
      <c r="AD5" s="779"/>
      <c r="AE5" s="778"/>
      <c r="AF5" s="781"/>
      <c r="AG5" s="781" t="s">
        <v>696</v>
      </c>
      <c r="AH5" s="781" t="s">
        <v>696</v>
      </c>
      <c r="AI5" s="781" t="s">
        <v>696</v>
      </c>
      <c r="AJ5" s="781" t="s">
        <v>696</v>
      </c>
      <c r="AK5" s="781" t="s">
        <v>696</v>
      </c>
      <c r="AL5" s="781" t="s">
        <v>696</v>
      </c>
      <c r="AM5" s="781" t="s">
        <v>696</v>
      </c>
      <c r="AN5" s="781" t="s">
        <v>696</v>
      </c>
      <c r="AO5" s="781" t="s">
        <v>696</v>
      </c>
      <c r="AP5" s="781" t="s">
        <v>696</v>
      </c>
      <c r="AQ5" s="781" t="s">
        <v>697</v>
      </c>
      <c r="AR5" s="781" t="s">
        <v>697</v>
      </c>
      <c r="AS5" s="781" t="s">
        <v>697</v>
      </c>
      <c r="AT5" s="781" t="s">
        <v>697</v>
      </c>
      <c r="AU5" s="781"/>
      <c r="AV5" s="1000">
        <v>0</v>
      </c>
      <c r="AW5" s="781"/>
      <c r="AX5" s="781"/>
      <c r="AY5" s="781"/>
      <c r="AZ5" s="781"/>
      <c r="BA5" s="1000">
        <v>0</v>
      </c>
      <c r="BB5" s="781"/>
      <c r="BC5" s="1000">
        <v>0</v>
      </c>
      <c r="BD5" s="781"/>
      <c r="BE5" s="781"/>
      <c r="BF5" s="781"/>
      <c r="BG5" s="781"/>
      <c r="BH5" s="781"/>
      <c r="BI5" s="781"/>
      <c r="BJ5" s="781"/>
      <c r="BK5" s="782">
        <v>0</v>
      </c>
      <c r="BL5">
        <v>0</v>
      </c>
      <c r="BN5">
        <v>0</v>
      </c>
    </row>
    <row r="6" spans="1:66" x14ac:dyDescent="0.2">
      <c r="A6" s="783" t="s">
        <v>849</v>
      </c>
      <c r="B6" s="783"/>
      <c r="C6" s="784"/>
      <c r="D6" s="785"/>
      <c r="E6" s="784">
        <v>1</v>
      </c>
      <c r="F6" s="784"/>
      <c r="G6" s="719"/>
      <c r="H6" s="784"/>
      <c r="I6" s="786">
        <v>1</v>
      </c>
      <c r="J6" s="787"/>
      <c r="K6" s="722"/>
      <c r="L6" s="788"/>
      <c r="M6" s="789"/>
      <c r="N6" s="789"/>
      <c r="O6" s="789"/>
      <c r="P6" s="789"/>
      <c r="Q6" s="790"/>
      <c r="R6" s="791"/>
      <c r="S6" s="791"/>
      <c r="T6" s="791"/>
      <c r="U6" s="791"/>
      <c r="V6" s="790"/>
      <c r="W6" s="720"/>
      <c r="X6" s="720"/>
      <c r="Y6" s="720"/>
      <c r="Z6" s="720"/>
      <c r="AA6" s="792"/>
      <c r="AB6" s="789"/>
      <c r="AC6" s="793"/>
      <c r="AD6" s="794"/>
      <c r="AE6" s="731"/>
      <c r="AF6" s="754"/>
      <c r="AG6" s="754"/>
      <c r="AH6" s="754"/>
      <c r="AI6" s="754"/>
      <c r="AJ6" s="723"/>
      <c r="AK6" s="723"/>
      <c r="AL6" s="723"/>
      <c r="AM6" s="723"/>
      <c r="AN6" s="723"/>
      <c r="AO6" s="723"/>
      <c r="AP6" s="723"/>
      <c r="AQ6" s="795"/>
      <c r="AR6" s="796"/>
      <c r="AS6" s="796"/>
      <c r="AT6" s="797"/>
      <c r="AU6" s="723"/>
      <c r="AV6" s="1001"/>
      <c r="AW6" s="723"/>
      <c r="AX6" s="723"/>
      <c r="AY6" s="723"/>
      <c r="AZ6" s="723"/>
      <c r="BA6" s="1014"/>
      <c r="BB6" s="797"/>
      <c r="BC6" s="1001"/>
      <c r="BD6" s="795"/>
      <c r="BE6" s="798"/>
      <c r="BF6" s="799"/>
      <c r="BG6" s="799"/>
      <c r="BH6" s="799"/>
      <c r="BI6" s="799"/>
      <c r="BJ6" s="799"/>
      <c r="BK6" s="784">
        <v>0</v>
      </c>
    </row>
    <row r="7" spans="1:66" x14ac:dyDescent="0.2">
      <c r="A7" s="800" t="s">
        <v>698</v>
      </c>
      <c r="B7" s="800" t="s">
        <v>699</v>
      </c>
      <c r="C7" s="784" t="s">
        <v>700</v>
      </c>
      <c r="D7" s="786" t="s">
        <v>701</v>
      </c>
      <c r="E7" s="784">
        <v>1</v>
      </c>
      <c r="F7" s="784">
        <v>1</v>
      </c>
      <c r="G7" s="719">
        <v>2</v>
      </c>
      <c r="H7" s="784">
        <v>1</v>
      </c>
      <c r="I7" s="786">
        <v>1</v>
      </c>
      <c r="J7" s="801" t="s">
        <v>702</v>
      </c>
      <c r="K7" s="802">
        <v>86</v>
      </c>
      <c r="L7" s="803">
        <v>18.100000000000001</v>
      </c>
      <c r="M7" s="804">
        <v>8</v>
      </c>
      <c r="N7" s="804">
        <v>3.5</v>
      </c>
      <c r="O7" s="805">
        <v>5.5</v>
      </c>
      <c r="P7" s="805">
        <v>4.5643153526970952</v>
      </c>
      <c r="Q7" s="806">
        <v>0.5</v>
      </c>
      <c r="R7" s="807">
        <v>0.3</v>
      </c>
      <c r="S7" s="807">
        <v>0.13</v>
      </c>
      <c r="T7" s="807">
        <v>1.4</v>
      </c>
      <c r="U7" s="807">
        <v>1.1618257261410787</v>
      </c>
      <c r="V7" s="806">
        <v>2.21</v>
      </c>
      <c r="W7" s="808">
        <v>1.04</v>
      </c>
      <c r="X7" s="808">
        <v>0.45399999999999996</v>
      </c>
      <c r="Y7" s="808">
        <v>1.67</v>
      </c>
      <c r="Z7" s="808">
        <v>1.3858921161825726</v>
      </c>
      <c r="AA7" s="809">
        <v>12</v>
      </c>
      <c r="AB7" s="810">
        <v>80</v>
      </c>
      <c r="AC7" s="811"/>
      <c r="AD7" s="812"/>
      <c r="AE7" s="813"/>
      <c r="AF7" s="813"/>
      <c r="AG7" s="814">
        <v>4145</v>
      </c>
      <c r="AH7" s="815" t="s">
        <v>703</v>
      </c>
      <c r="AI7" s="814">
        <v>880</v>
      </c>
      <c r="AJ7" s="816">
        <v>19.3</v>
      </c>
      <c r="AK7" s="816">
        <v>137.5</v>
      </c>
      <c r="AL7" s="816">
        <v>20.5</v>
      </c>
      <c r="AM7" s="816">
        <v>29.6</v>
      </c>
      <c r="AN7" s="816">
        <v>675</v>
      </c>
      <c r="AO7" s="816">
        <v>31.8</v>
      </c>
      <c r="AP7" s="816">
        <v>793.2</v>
      </c>
      <c r="AQ7" s="817">
        <v>78</v>
      </c>
      <c r="AR7" s="818">
        <v>41</v>
      </c>
      <c r="AS7" s="818">
        <v>78</v>
      </c>
      <c r="AT7" s="819">
        <v>93</v>
      </c>
      <c r="AU7" s="816">
        <v>749.81200000000013</v>
      </c>
      <c r="AV7" s="1002">
        <v>0.96330000000000005</v>
      </c>
      <c r="AW7" s="816">
        <v>68.016194331983812</v>
      </c>
      <c r="AX7" s="816">
        <v>20.748987854251013</v>
      </c>
      <c r="AY7" s="816">
        <v>614.91900757811698</v>
      </c>
      <c r="AZ7" s="816">
        <v>703.6841897643518</v>
      </c>
      <c r="BA7" s="1015">
        <v>703.6841897643518</v>
      </c>
      <c r="BB7" s="819">
        <v>582.95872280000003</v>
      </c>
      <c r="BC7" s="1002">
        <v>0.52560554704165752</v>
      </c>
      <c r="BD7" s="817"/>
      <c r="BE7" s="819"/>
      <c r="BF7" s="820">
        <v>0.12457178449081283</v>
      </c>
      <c r="BG7" s="820">
        <v>0.69054292536073913</v>
      </c>
      <c r="BH7" s="820">
        <v>175</v>
      </c>
      <c r="BI7" s="820">
        <v>1.3027094363126752E-2</v>
      </c>
      <c r="BJ7" s="820">
        <v>0.31265026471504204</v>
      </c>
      <c r="BK7" s="784">
        <v>0</v>
      </c>
      <c r="BL7" s="1071">
        <v>100</v>
      </c>
      <c r="BN7" s="807">
        <v>0.55000000000000004</v>
      </c>
    </row>
    <row r="8" spans="1:66" x14ac:dyDescent="0.2">
      <c r="A8" s="800" t="s">
        <v>704</v>
      </c>
      <c r="B8" s="800" t="s">
        <v>705</v>
      </c>
      <c r="C8" s="784" t="s">
        <v>700</v>
      </c>
      <c r="D8" s="786" t="s">
        <v>701</v>
      </c>
      <c r="E8" s="784">
        <v>1</v>
      </c>
      <c r="F8" s="784">
        <v>1</v>
      </c>
      <c r="G8" s="719">
        <v>2</v>
      </c>
      <c r="H8" s="784">
        <v>1</v>
      </c>
      <c r="I8" s="786">
        <v>1</v>
      </c>
      <c r="J8" s="801" t="s">
        <v>702</v>
      </c>
      <c r="K8" s="802">
        <v>86</v>
      </c>
      <c r="L8" s="803">
        <v>21.099999999999998</v>
      </c>
      <c r="M8" s="804">
        <v>8</v>
      </c>
      <c r="N8" s="804">
        <v>3.5</v>
      </c>
      <c r="O8" s="805">
        <v>5.5</v>
      </c>
      <c r="P8" s="805">
        <v>4.5643153526970952</v>
      </c>
      <c r="Q8" s="806">
        <v>0.5</v>
      </c>
      <c r="R8" s="807">
        <v>0.3</v>
      </c>
      <c r="S8" s="807">
        <v>0.13</v>
      </c>
      <c r="T8" s="807">
        <v>1.4</v>
      </c>
      <c r="U8" s="807">
        <v>1.1618257261410787</v>
      </c>
      <c r="V8" s="806">
        <v>2.5099999999999998</v>
      </c>
      <c r="W8" s="808">
        <v>1.04</v>
      </c>
      <c r="X8" s="808">
        <v>0.45399999999999996</v>
      </c>
      <c r="Y8" s="808">
        <v>1.67</v>
      </c>
      <c r="Z8" s="808">
        <v>1.3858921161825726</v>
      </c>
      <c r="AA8" s="809">
        <v>14</v>
      </c>
      <c r="AB8" s="810">
        <v>80</v>
      </c>
      <c r="AC8" s="811"/>
      <c r="AD8" s="812"/>
      <c r="AE8" s="813"/>
      <c r="AF8" s="813"/>
      <c r="AG8" s="814">
        <v>4145</v>
      </c>
      <c r="AH8" s="815" t="s">
        <v>703</v>
      </c>
      <c r="AI8" s="814">
        <v>880</v>
      </c>
      <c r="AJ8" s="816">
        <v>19.3</v>
      </c>
      <c r="AK8" s="816">
        <v>137.5</v>
      </c>
      <c r="AL8" s="816">
        <v>20.5</v>
      </c>
      <c r="AM8" s="816">
        <v>29.6</v>
      </c>
      <c r="AN8" s="816">
        <v>675</v>
      </c>
      <c r="AO8" s="816">
        <v>31.8</v>
      </c>
      <c r="AP8" s="816">
        <v>793.2</v>
      </c>
      <c r="AQ8" s="817">
        <v>78</v>
      </c>
      <c r="AR8" s="818">
        <v>41</v>
      </c>
      <c r="AS8" s="818">
        <v>78</v>
      </c>
      <c r="AT8" s="819">
        <v>93</v>
      </c>
      <c r="AU8" s="816">
        <v>749.81200000000013</v>
      </c>
      <c r="AV8" s="1002">
        <v>0.98080000000000012</v>
      </c>
      <c r="AW8" s="816">
        <v>76.544657422512245</v>
      </c>
      <c r="AX8" s="816">
        <v>20.378772430668839</v>
      </c>
      <c r="AY8" s="816">
        <v>603.94726753670477</v>
      </c>
      <c r="AZ8" s="816">
        <v>700.87069738988589</v>
      </c>
      <c r="BA8" s="1015">
        <v>700.87069738988589</v>
      </c>
      <c r="BB8" s="819">
        <v>604.92430240000022</v>
      </c>
      <c r="BC8" s="1002">
        <v>0.52816861536624549</v>
      </c>
      <c r="BD8" s="817"/>
      <c r="BE8" s="819"/>
      <c r="BF8" s="821">
        <v>0.14019168026101142</v>
      </c>
      <c r="BG8" s="821">
        <v>0.66037928221859699</v>
      </c>
      <c r="BH8" s="822">
        <v>175</v>
      </c>
      <c r="BI8" s="821">
        <v>1.3008768352365415E-2</v>
      </c>
      <c r="BJ8" s="821">
        <v>0.31221044045676993</v>
      </c>
      <c r="BK8" s="784">
        <v>0</v>
      </c>
      <c r="BL8" s="1071">
        <v>100</v>
      </c>
      <c r="BN8" s="807">
        <v>0.55000000000000004</v>
      </c>
    </row>
    <row r="9" spans="1:66" x14ac:dyDescent="0.2">
      <c r="A9" s="800" t="s">
        <v>706</v>
      </c>
      <c r="B9" s="800" t="s">
        <v>707</v>
      </c>
      <c r="C9" s="784" t="s">
        <v>700</v>
      </c>
      <c r="D9" s="786" t="s">
        <v>701</v>
      </c>
      <c r="E9" s="784">
        <v>1</v>
      </c>
      <c r="F9" s="784">
        <v>1</v>
      </c>
      <c r="G9" s="719">
        <v>2</v>
      </c>
      <c r="H9" s="784">
        <v>1</v>
      </c>
      <c r="I9" s="786">
        <v>1</v>
      </c>
      <c r="J9" s="801" t="s">
        <v>702</v>
      </c>
      <c r="K9" s="802">
        <v>86</v>
      </c>
      <c r="L9" s="803">
        <v>21.099999999999998</v>
      </c>
      <c r="M9" s="805">
        <v>7.5</v>
      </c>
      <c r="N9" s="805">
        <v>3.5</v>
      </c>
      <c r="O9" s="805">
        <v>5.5</v>
      </c>
      <c r="P9" s="805">
        <v>4.5643153526970952</v>
      </c>
      <c r="Q9" s="806">
        <v>0.5</v>
      </c>
      <c r="R9" s="807">
        <v>0.3</v>
      </c>
      <c r="S9" s="807">
        <v>0.13</v>
      </c>
      <c r="T9" s="807">
        <v>1.4</v>
      </c>
      <c r="U9" s="807">
        <v>1.1618257261410787</v>
      </c>
      <c r="V9" s="806">
        <v>2.5099999999999998</v>
      </c>
      <c r="W9" s="808">
        <v>0.99</v>
      </c>
      <c r="X9" s="808">
        <v>0.45399999999999996</v>
      </c>
      <c r="Y9" s="808">
        <v>1.67</v>
      </c>
      <c r="Z9" s="808">
        <v>1.3858921161825726</v>
      </c>
      <c r="AA9" s="809">
        <v>14</v>
      </c>
      <c r="AB9" s="832">
        <v>70</v>
      </c>
      <c r="AC9" s="811"/>
      <c r="AD9" s="812"/>
      <c r="AE9" s="813"/>
      <c r="AF9" s="813"/>
      <c r="AG9" s="814">
        <v>4145</v>
      </c>
      <c r="AH9" s="815" t="s">
        <v>703</v>
      </c>
      <c r="AI9" s="814">
        <v>880</v>
      </c>
      <c r="AJ9" s="816">
        <v>19.3</v>
      </c>
      <c r="AK9" s="816">
        <v>137.5</v>
      </c>
      <c r="AL9" s="816">
        <v>20.5</v>
      </c>
      <c r="AM9" s="816">
        <v>29.6</v>
      </c>
      <c r="AN9" s="816">
        <v>675</v>
      </c>
      <c r="AO9" s="816">
        <v>31.8</v>
      </c>
      <c r="AP9" s="816">
        <v>793.2</v>
      </c>
      <c r="AQ9" s="817">
        <v>78</v>
      </c>
      <c r="AR9" s="818">
        <v>41</v>
      </c>
      <c r="AS9" s="818">
        <v>78</v>
      </c>
      <c r="AT9" s="819">
        <v>93</v>
      </c>
      <c r="AU9" s="816">
        <v>749.81200000000013</v>
      </c>
      <c r="AV9" s="1002">
        <v>0.98080000000000012</v>
      </c>
      <c r="AW9" s="816">
        <v>76.544657422512245</v>
      </c>
      <c r="AX9" s="816">
        <v>20.378772430668839</v>
      </c>
      <c r="AY9" s="816">
        <v>603.94726753670477</v>
      </c>
      <c r="AZ9" s="816">
        <v>700.87069738988589</v>
      </c>
      <c r="BA9" s="1015">
        <v>700.87069738988589</v>
      </c>
      <c r="BB9" s="819">
        <v>604.92430240000022</v>
      </c>
      <c r="BC9" s="1002">
        <v>0.52816861536624549</v>
      </c>
      <c r="BD9" s="817"/>
      <c r="BE9" s="819"/>
      <c r="BF9" s="821">
        <v>0.14019168026101142</v>
      </c>
      <c r="BG9" s="821">
        <v>0.66037928221859699</v>
      </c>
      <c r="BH9" s="822">
        <v>175</v>
      </c>
      <c r="BI9" s="821">
        <v>1.3008768352365415E-2</v>
      </c>
      <c r="BJ9" s="821">
        <v>0.31221044045676993</v>
      </c>
      <c r="BK9" s="784">
        <v>0</v>
      </c>
      <c r="BL9" s="1071">
        <v>100</v>
      </c>
      <c r="BN9" s="807">
        <v>0.55000000000000004</v>
      </c>
    </row>
    <row r="10" spans="1:66" x14ac:dyDescent="0.2">
      <c r="A10" s="800" t="s">
        <v>709</v>
      </c>
      <c r="B10" s="800" t="s">
        <v>710</v>
      </c>
      <c r="C10" s="784" t="s">
        <v>700</v>
      </c>
      <c r="D10" s="786" t="s">
        <v>701</v>
      </c>
      <c r="E10" s="784">
        <v>1</v>
      </c>
      <c r="F10" s="784">
        <v>1</v>
      </c>
      <c r="G10" s="719">
        <v>2</v>
      </c>
      <c r="H10" s="784">
        <v>1</v>
      </c>
      <c r="I10" s="786">
        <v>1</v>
      </c>
      <c r="J10" s="801" t="s">
        <v>702</v>
      </c>
      <c r="K10" s="802">
        <v>86</v>
      </c>
      <c r="L10" s="803">
        <v>16.5</v>
      </c>
      <c r="M10" s="804">
        <v>8</v>
      </c>
      <c r="N10" s="804">
        <v>3.5</v>
      </c>
      <c r="O10" s="805">
        <v>6</v>
      </c>
      <c r="P10" s="805">
        <v>4.9792531120331942</v>
      </c>
      <c r="Q10" s="824">
        <v>0.5</v>
      </c>
      <c r="R10" s="808">
        <v>0.3</v>
      </c>
      <c r="S10" s="808">
        <v>0.13</v>
      </c>
      <c r="T10" s="808">
        <v>1.7</v>
      </c>
      <c r="U10" s="808">
        <v>1.4107883817427385</v>
      </c>
      <c r="V10" s="806">
        <v>2</v>
      </c>
      <c r="W10" s="808">
        <v>1.01</v>
      </c>
      <c r="X10" s="808">
        <v>0.44099999999999995</v>
      </c>
      <c r="Y10" s="808">
        <v>1.79</v>
      </c>
      <c r="Z10" s="808">
        <v>1.4854771784232363</v>
      </c>
      <c r="AA10" s="809">
        <v>12</v>
      </c>
      <c r="AB10" s="810">
        <v>70</v>
      </c>
      <c r="AC10" s="811"/>
      <c r="AD10" s="812"/>
      <c r="AE10" s="813"/>
      <c r="AF10" s="813"/>
      <c r="AG10" s="814">
        <v>4025</v>
      </c>
      <c r="AH10" s="815" t="s">
        <v>711</v>
      </c>
      <c r="AI10" s="814">
        <v>880</v>
      </c>
      <c r="AJ10" s="816">
        <v>25</v>
      </c>
      <c r="AK10" s="816">
        <v>125</v>
      </c>
      <c r="AL10" s="816">
        <v>25</v>
      </c>
      <c r="AM10" s="816">
        <v>50</v>
      </c>
      <c r="AN10" s="816">
        <v>602.29999999999995</v>
      </c>
      <c r="AO10" s="816">
        <v>25</v>
      </c>
      <c r="AP10" s="816">
        <v>775</v>
      </c>
      <c r="AQ10" s="817">
        <v>78</v>
      </c>
      <c r="AR10" s="818">
        <v>46</v>
      </c>
      <c r="AS10" s="818">
        <v>76</v>
      </c>
      <c r="AT10" s="819">
        <v>91</v>
      </c>
      <c r="AU10" s="816">
        <v>728.25</v>
      </c>
      <c r="AV10" s="1002">
        <v>0.97499999999999998</v>
      </c>
      <c r="AW10" s="816">
        <v>70</v>
      </c>
      <c r="AX10" s="816">
        <v>24.358974358974365</v>
      </c>
      <c r="AY10" s="816">
        <v>590.06923076923078</v>
      </c>
      <c r="AZ10" s="816">
        <v>684.42820512820515</v>
      </c>
      <c r="BA10" s="1015">
        <v>684.42820512820515</v>
      </c>
      <c r="BB10" s="819">
        <v>587.23940000000005</v>
      </c>
      <c r="BC10" s="1002">
        <v>0.52788402821745262</v>
      </c>
      <c r="BD10" s="817"/>
      <c r="BE10" s="819"/>
      <c r="BF10" s="821">
        <v>0.12820512820512819</v>
      </c>
      <c r="BG10" s="821">
        <v>0.63076923076923086</v>
      </c>
      <c r="BH10" s="822">
        <v>210</v>
      </c>
      <c r="BI10" s="821">
        <v>1.2389743589743591E-2</v>
      </c>
      <c r="BJ10" s="821">
        <v>0.29735384615384619</v>
      </c>
      <c r="BK10" s="784">
        <v>0</v>
      </c>
      <c r="BL10" s="1071">
        <v>100</v>
      </c>
      <c r="BN10" s="807">
        <v>0.55000000000000004</v>
      </c>
    </row>
    <row r="11" spans="1:66" x14ac:dyDescent="0.2">
      <c r="A11" s="800" t="s">
        <v>712</v>
      </c>
      <c r="B11" s="800" t="s">
        <v>713</v>
      </c>
      <c r="C11" s="784" t="s">
        <v>700</v>
      </c>
      <c r="D11" s="786" t="s">
        <v>701</v>
      </c>
      <c r="E11" s="784">
        <v>1</v>
      </c>
      <c r="F11" s="784">
        <v>1</v>
      </c>
      <c r="G11" s="719">
        <v>2</v>
      </c>
      <c r="H11" s="784">
        <v>1</v>
      </c>
      <c r="I11" s="786">
        <v>1</v>
      </c>
      <c r="J11" s="801" t="s">
        <v>702</v>
      </c>
      <c r="K11" s="802">
        <v>86</v>
      </c>
      <c r="L11" s="803">
        <v>16.5</v>
      </c>
      <c r="M11" s="804">
        <v>8</v>
      </c>
      <c r="N11" s="804">
        <v>3.5</v>
      </c>
      <c r="O11" s="805">
        <v>6</v>
      </c>
      <c r="P11" s="805">
        <v>4.9792531120331942</v>
      </c>
      <c r="Q11" s="806">
        <v>0.5</v>
      </c>
      <c r="R11" s="807">
        <v>0.3</v>
      </c>
      <c r="S11" s="807">
        <v>0.13</v>
      </c>
      <c r="T11" s="807">
        <v>1.7</v>
      </c>
      <c r="U11" s="807">
        <v>1.4107883817427385</v>
      </c>
      <c r="V11" s="806">
        <v>2.0499999999999998</v>
      </c>
      <c r="W11" s="808">
        <v>1.04</v>
      </c>
      <c r="X11" s="808">
        <v>0.46</v>
      </c>
      <c r="Y11" s="808">
        <v>1.96</v>
      </c>
      <c r="Z11" s="808">
        <v>1.6265560165975104</v>
      </c>
      <c r="AA11" s="809">
        <v>12</v>
      </c>
      <c r="AB11" s="810">
        <v>50</v>
      </c>
      <c r="AC11" s="811"/>
      <c r="AD11" s="812"/>
      <c r="AE11" s="813"/>
      <c r="AF11" s="813"/>
      <c r="AG11" s="814">
        <v>4026</v>
      </c>
      <c r="AH11" s="843" t="s">
        <v>714</v>
      </c>
      <c r="AI11" s="814">
        <v>880</v>
      </c>
      <c r="AJ11" s="816">
        <v>25</v>
      </c>
      <c r="AK11" s="816">
        <v>125</v>
      </c>
      <c r="AL11" s="816">
        <v>22.7</v>
      </c>
      <c r="AM11" s="816">
        <v>52.3</v>
      </c>
      <c r="AN11" s="816">
        <v>600</v>
      </c>
      <c r="AO11" s="816">
        <v>26.1</v>
      </c>
      <c r="AP11" s="816">
        <v>775</v>
      </c>
      <c r="AQ11" s="817">
        <v>74</v>
      </c>
      <c r="AR11" s="818">
        <v>32</v>
      </c>
      <c r="AS11" s="818">
        <v>77</v>
      </c>
      <c r="AT11" s="819">
        <v>92</v>
      </c>
      <c r="AU11" s="816">
        <v>729.7360000000001</v>
      </c>
      <c r="AV11" s="1002">
        <v>0.97499999999999998</v>
      </c>
      <c r="AW11" s="816">
        <v>66.410256410256409</v>
      </c>
      <c r="AX11" s="816">
        <v>22.408974358974358</v>
      </c>
      <c r="AY11" s="816">
        <v>591.27327179487179</v>
      </c>
      <c r="AZ11" s="816">
        <v>680.09250256410257</v>
      </c>
      <c r="BA11" s="1015">
        <v>680.09250256410257</v>
      </c>
      <c r="BB11" s="819">
        <v>583.51936720000003</v>
      </c>
      <c r="BC11" s="1002">
        <v>0.52643724076207499</v>
      </c>
      <c r="BD11" s="817"/>
      <c r="BE11" s="819"/>
      <c r="BF11" s="821">
        <v>0.12820512820512819</v>
      </c>
      <c r="BG11" s="821">
        <v>0.628</v>
      </c>
      <c r="BH11" s="822">
        <v>215</v>
      </c>
      <c r="BI11" s="821">
        <v>1.2356512820512821E-2</v>
      </c>
      <c r="BJ11" s="821">
        <v>0.29655630769230767</v>
      </c>
      <c r="BK11" s="784">
        <v>0</v>
      </c>
      <c r="BL11" s="1071">
        <v>100</v>
      </c>
      <c r="BN11" s="807">
        <v>0.55000000000000004</v>
      </c>
    </row>
    <row r="12" spans="1:66" x14ac:dyDescent="0.2">
      <c r="A12" s="800" t="s">
        <v>715</v>
      </c>
      <c r="B12" s="800" t="s">
        <v>716</v>
      </c>
      <c r="C12" s="784" t="s">
        <v>700</v>
      </c>
      <c r="D12" s="786" t="s">
        <v>701</v>
      </c>
      <c r="E12" s="784">
        <v>1</v>
      </c>
      <c r="F12" s="784">
        <v>1</v>
      </c>
      <c r="G12" s="719">
        <v>2</v>
      </c>
      <c r="H12" s="784">
        <v>1</v>
      </c>
      <c r="I12" s="786">
        <v>1</v>
      </c>
      <c r="J12" s="801" t="s">
        <v>702</v>
      </c>
      <c r="K12" s="802">
        <v>86</v>
      </c>
      <c r="L12" s="803">
        <v>15.1</v>
      </c>
      <c r="M12" s="804">
        <v>8</v>
      </c>
      <c r="N12" s="804">
        <v>3.5</v>
      </c>
      <c r="O12" s="805">
        <v>6</v>
      </c>
      <c r="P12" s="805">
        <v>4.9792531120331942</v>
      </c>
      <c r="Q12" s="806">
        <v>0.5</v>
      </c>
      <c r="R12" s="807">
        <v>0.3</v>
      </c>
      <c r="S12" s="807">
        <v>0.13</v>
      </c>
      <c r="T12" s="807">
        <v>2</v>
      </c>
      <c r="U12" s="807">
        <v>1.6597510373443982</v>
      </c>
      <c r="V12" s="806">
        <v>1.96</v>
      </c>
      <c r="W12" s="808">
        <v>1.07</v>
      </c>
      <c r="X12" s="808">
        <v>0.46699999999999997</v>
      </c>
      <c r="Y12" s="808">
        <v>2.4</v>
      </c>
      <c r="Z12" s="808">
        <v>1.991701244813278</v>
      </c>
      <c r="AA12" s="809">
        <v>11</v>
      </c>
      <c r="AB12" s="810">
        <v>70</v>
      </c>
      <c r="AC12" s="811"/>
      <c r="AD12" s="812"/>
      <c r="AE12" s="813"/>
      <c r="AF12" s="813"/>
      <c r="AG12" s="814">
        <v>4105</v>
      </c>
      <c r="AH12" s="815" t="s">
        <v>717</v>
      </c>
      <c r="AI12" s="814">
        <v>880</v>
      </c>
      <c r="AJ12" s="816">
        <v>20.5</v>
      </c>
      <c r="AK12" s="816">
        <v>104.6</v>
      </c>
      <c r="AL12" s="816">
        <v>18.2</v>
      </c>
      <c r="AM12" s="816">
        <v>22.7</v>
      </c>
      <c r="AN12" s="816">
        <v>645.5</v>
      </c>
      <c r="AO12" s="816">
        <v>62.5</v>
      </c>
      <c r="AP12" s="816">
        <v>834.1</v>
      </c>
      <c r="AQ12" s="817">
        <v>69</v>
      </c>
      <c r="AR12" s="818">
        <v>47</v>
      </c>
      <c r="AS12" s="818">
        <v>58</v>
      </c>
      <c r="AT12" s="819">
        <v>94</v>
      </c>
      <c r="AU12" s="816">
        <v>794.72300000000007</v>
      </c>
      <c r="AV12" s="1002">
        <v>0.97960000000000003</v>
      </c>
      <c r="AW12" s="816">
        <v>51.573907717435681</v>
      </c>
      <c r="AX12" s="816">
        <v>13.46978358513679</v>
      </c>
      <c r="AY12" s="816">
        <v>640.90564516129029</v>
      </c>
      <c r="AZ12" s="816">
        <v>705.94933646386278</v>
      </c>
      <c r="BA12" s="1015">
        <v>705.94933646386278</v>
      </c>
      <c r="BB12" s="819">
        <v>608.56221360000006</v>
      </c>
      <c r="BC12" s="1002">
        <v>0.51877625061931709</v>
      </c>
      <c r="BD12" s="817"/>
      <c r="BE12" s="819"/>
      <c r="BF12" s="821">
        <v>0.10677827684769292</v>
      </c>
      <c r="BG12" s="821">
        <v>0.70100040832993049</v>
      </c>
      <c r="BH12" s="822">
        <v>170</v>
      </c>
      <c r="BI12" s="821">
        <v>1.2761126990608411E-2</v>
      </c>
      <c r="BJ12" s="821">
        <v>0.30626704777460184</v>
      </c>
      <c r="BK12" s="784">
        <v>0</v>
      </c>
      <c r="BL12" s="1071">
        <v>100</v>
      </c>
      <c r="BN12" s="807">
        <v>0.55000000000000004</v>
      </c>
    </row>
    <row r="13" spans="1:66" x14ac:dyDescent="0.2">
      <c r="A13" s="800" t="s">
        <v>718</v>
      </c>
      <c r="B13" s="800" t="s">
        <v>719</v>
      </c>
      <c r="C13" s="784" t="s">
        <v>700</v>
      </c>
      <c r="D13" s="786" t="s">
        <v>701</v>
      </c>
      <c r="E13" s="784">
        <v>1</v>
      </c>
      <c r="F13" s="784">
        <v>1</v>
      </c>
      <c r="G13" s="719">
        <v>2</v>
      </c>
      <c r="H13" s="784">
        <v>1</v>
      </c>
      <c r="I13" s="786">
        <v>1</v>
      </c>
      <c r="J13" s="801" t="s">
        <v>702</v>
      </c>
      <c r="K13" s="802">
        <v>86</v>
      </c>
      <c r="L13" s="803">
        <v>15.1</v>
      </c>
      <c r="M13" s="804">
        <v>8</v>
      </c>
      <c r="N13" s="804">
        <v>3.5</v>
      </c>
      <c r="O13" s="805">
        <v>6</v>
      </c>
      <c r="P13" s="805">
        <v>4.9792531120331942</v>
      </c>
      <c r="Q13" s="824">
        <v>0.5</v>
      </c>
      <c r="R13" s="808">
        <v>0.3</v>
      </c>
      <c r="S13" s="808">
        <v>0.13</v>
      </c>
      <c r="T13" s="808">
        <v>1.7</v>
      </c>
      <c r="U13" s="808">
        <v>1.4107883817427385</v>
      </c>
      <c r="V13" s="806">
        <v>2.06</v>
      </c>
      <c r="W13" s="808">
        <v>1.1300000000000001</v>
      </c>
      <c r="X13" s="808">
        <v>0.49299999999999999</v>
      </c>
      <c r="Y13" s="808">
        <v>2.4700000000000002</v>
      </c>
      <c r="Z13" s="808">
        <v>2.0497925311203318</v>
      </c>
      <c r="AA13" s="809">
        <v>11</v>
      </c>
      <c r="AB13" s="810">
        <v>55</v>
      </c>
      <c r="AC13" s="811"/>
      <c r="AD13" s="812"/>
      <c r="AE13" s="813"/>
      <c r="AF13" s="813"/>
      <c r="AG13" s="814">
        <v>4065</v>
      </c>
      <c r="AH13" s="815" t="s">
        <v>718</v>
      </c>
      <c r="AI13" s="814">
        <v>880</v>
      </c>
      <c r="AJ13" s="816">
        <v>29.6</v>
      </c>
      <c r="AK13" s="816">
        <v>122.7</v>
      </c>
      <c r="AL13" s="816">
        <v>52.3</v>
      </c>
      <c r="AM13" s="816">
        <v>112.5</v>
      </c>
      <c r="AN13" s="816">
        <v>446.6</v>
      </c>
      <c r="AO13" s="816">
        <v>15.9</v>
      </c>
      <c r="AP13" s="816">
        <v>683</v>
      </c>
      <c r="AQ13" s="817">
        <v>74</v>
      </c>
      <c r="AR13" s="818">
        <v>29</v>
      </c>
      <c r="AS13" s="818">
        <v>88</v>
      </c>
      <c r="AT13" s="819">
        <v>80</v>
      </c>
      <c r="AU13" s="816">
        <v>579.02499999999998</v>
      </c>
      <c r="AV13" s="1002">
        <v>0.97050000000000003</v>
      </c>
      <c r="AW13" s="816">
        <v>65.490571870170015</v>
      </c>
      <c r="AX13" s="816">
        <v>59.278722308088618</v>
      </c>
      <c r="AY13" s="816">
        <v>471.33410613086039</v>
      </c>
      <c r="AZ13" s="816">
        <v>596.10340030911902</v>
      </c>
      <c r="BA13" s="1015">
        <v>596.10340030911902</v>
      </c>
      <c r="BB13" s="819">
        <v>509.09614800000003</v>
      </c>
      <c r="BC13" s="1002">
        <v>0.54097139874647016</v>
      </c>
      <c r="BD13" s="817"/>
      <c r="BE13" s="819"/>
      <c r="BF13" s="821">
        <v>0.12642967542503863</v>
      </c>
      <c r="BG13" s="821">
        <v>0.51045852653271506</v>
      </c>
      <c r="BH13" s="822">
        <v>300</v>
      </c>
      <c r="BI13" s="821">
        <v>1.0906955177743431E-2</v>
      </c>
      <c r="BJ13" s="821">
        <v>0.26176692426584236</v>
      </c>
      <c r="BK13" s="784">
        <v>0</v>
      </c>
      <c r="BL13" s="1071">
        <v>100</v>
      </c>
      <c r="BN13" s="807">
        <v>0.55000000000000004</v>
      </c>
    </row>
    <row r="14" spans="1:66" x14ac:dyDescent="0.2">
      <c r="A14" s="800" t="s">
        <v>720</v>
      </c>
      <c r="B14" s="800" t="s">
        <v>721</v>
      </c>
      <c r="C14" s="784" t="s">
        <v>700</v>
      </c>
      <c r="D14" s="786" t="s">
        <v>701</v>
      </c>
      <c r="E14" s="784">
        <v>1</v>
      </c>
      <c r="F14" s="784">
        <v>1</v>
      </c>
      <c r="G14" s="719">
        <v>2</v>
      </c>
      <c r="H14" s="784">
        <v>1</v>
      </c>
      <c r="I14" s="786">
        <v>1</v>
      </c>
      <c r="J14" s="801" t="s">
        <v>702</v>
      </c>
      <c r="K14" s="802">
        <v>86</v>
      </c>
      <c r="L14" s="803">
        <v>16.5</v>
      </c>
      <c r="M14" s="804">
        <v>8</v>
      </c>
      <c r="N14" s="804">
        <v>3.5</v>
      </c>
      <c r="O14" s="805">
        <v>6</v>
      </c>
      <c r="P14" s="805">
        <v>4.9792531120331942</v>
      </c>
      <c r="Q14" s="806">
        <v>0.5</v>
      </c>
      <c r="R14" s="807">
        <v>0.3</v>
      </c>
      <c r="S14" s="807">
        <v>0.13</v>
      </c>
      <c r="T14" s="807">
        <v>1.7</v>
      </c>
      <c r="U14" s="807">
        <v>1.4107883817427385</v>
      </c>
      <c r="V14" s="806">
        <v>2.1</v>
      </c>
      <c r="W14" s="808">
        <v>1.07</v>
      </c>
      <c r="X14" s="808">
        <v>0.46699999999999997</v>
      </c>
      <c r="Y14" s="808">
        <v>2.13</v>
      </c>
      <c r="Z14" s="808">
        <v>1.7676348547717842</v>
      </c>
      <c r="AA14" s="809">
        <v>12</v>
      </c>
      <c r="AB14" s="810">
        <v>70</v>
      </c>
      <c r="AC14" s="811"/>
      <c r="AD14" s="812"/>
      <c r="AE14" s="813"/>
      <c r="AF14" s="813"/>
      <c r="AG14" s="814">
        <v>4125</v>
      </c>
      <c r="AH14" s="815" t="s">
        <v>720</v>
      </c>
      <c r="AI14" s="814">
        <v>880</v>
      </c>
      <c r="AJ14" s="816">
        <v>20.5</v>
      </c>
      <c r="AK14" s="816">
        <v>120.5</v>
      </c>
      <c r="AL14" s="816">
        <v>18.2</v>
      </c>
      <c r="AM14" s="816">
        <v>25</v>
      </c>
      <c r="AN14" s="816">
        <v>667.1</v>
      </c>
      <c r="AO14" s="816">
        <v>39.799999999999997</v>
      </c>
      <c r="AP14" s="816">
        <v>815.9</v>
      </c>
      <c r="AQ14" s="817">
        <v>71</v>
      </c>
      <c r="AR14" s="818">
        <v>32</v>
      </c>
      <c r="AS14" s="818">
        <v>65</v>
      </c>
      <c r="AT14" s="819">
        <v>93</v>
      </c>
      <c r="AU14" s="816">
        <v>766.78699999999992</v>
      </c>
      <c r="AV14" s="1002">
        <v>0.97959999999999992</v>
      </c>
      <c r="AW14" s="816">
        <v>61.135667619436504</v>
      </c>
      <c r="AX14" s="816">
        <v>15.095447121273992</v>
      </c>
      <c r="AY14" s="816">
        <v>618.3766129032258</v>
      </c>
      <c r="AZ14" s="816">
        <v>694.6077276439363</v>
      </c>
      <c r="BA14" s="1015">
        <v>694.6077276439363</v>
      </c>
      <c r="BB14" s="819">
        <v>598.78520239999989</v>
      </c>
      <c r="BC14" s="1002">
        <v>0.52239490011819301</v>
      </c>
      <c r="BD14" s="817"/>
      <c r="BE14" s="819"/>
      <c r="BF14" s="821">
        <v>0.12300939158840345</v>
      </c>
      <c r="BG14" s="821">
        <v>0.67966516945692113</v>
      </c>
      <c r="BH14" s="822">
        <v>175</v>
      </c>
      <c r="BI14" s="821">
        <v>1.2862188648427929E-2</v>
      </c>
      <c r="BJ14" s="821">
        <v>0.30869252756227028</v>
      </c>
      <c r="BK14" s="784">
        <v>0</v>
      </c>
      <c r="BL14" s="1071">
        <v>100</v>
      </c>
      <c r="BN14" s="807">
        <v>0.55000000000000004</v>
      </c>
    </row>
    <row r="15" spans="1:66" x14ac:dyDescent="0.2">
      <c r="A15" s="800" t="s">
        <v>722</v>
      </c>
      <c r="B15" s="800" t="s">
        <v>723</v>
      </c>
      <c r="C15" s="784" t="s">
        <v>700</v>
      </c>
      <c r="D15" s="786" t="s">
        <v>701</v>
      </c>
      <c r="E15" s="784">
        <v>1</v>
      </c>
      <c r="F15" s="784">
        <v>1</v>
      </c>
      <c r="G15" s="719">
        <v>2</v>
      </c>
      <c r="H15" s="784">
        <v>1</v>
      </c>
      <c r="I15" s="786">
        <v>1</v>
      </c>
      <c r="J15" s="801" t="s">
        <v>702</v>
      </c>
      <c r="K15" s="811">
        <v>86</v>
      </c>
      <c r="L15" s="846">
        <v>16.5</v>
      </c>
      <c r="M15" s="805">
        <v>8</v>
      </c>
      <c r="N15" s="805">
        <v>3.4919249236141425</v>
      </c>
      <c r="O15" s="805">
        <v>8</v>
      </c>
      <c r="P15" s="805">
        <v>6.6390041493775929</v>
      </c>
      <c r="Q15" s="806">
        <v>0.5</v>
      </c>
      <c r="R15" s="807">
        <v>0.3</v>
      </c>
      <c r="S15" s="807">
        <v>0.13094718463553034</v>
      </c>
      <c r="T15" s="807">
        <v>1.4</v>
      </c>
      <c r="U15" s="807">
        <v>1.1618257261410787</v>
      </c>
      <c r="V15" s="806">
        <v>2.0499999999999998</v>
      </c>
      <c r="W15" s="808">
        <v>1.04</v>
      </c>
      <c r="X15" s="808">
        <v>0.45395024006983853</v>
      </c>
      <c r="Y15" s="808">
        <v>1.92</v>
      </c>
      <c r="Z15" s="808">
        <v>1.5933609958506223</v>
      </c>
      <c r="AA15" s="847">
        <v>12</v>
      </c>
      <c r="AB15" s="832">
        <v>60</v>
      </c>
      <c r="AC15" s="811"/>
      <c r="AD15" s="812"/>
      <c r="AE15" s="813"/>
      <c r="AF15" s="813"/>
      <c r="AG15" s="814">
        <v>4065</v>
      </c>
      <c r="AH15" s="815" t="s">
        <v>718</v>
      </c>
      <c r="AI15" s="814">
        <v>880</v>
      </c>
      <c r="AJ15" s="816">
        <v>29.6</v>
      </c>
      <c r="AK15" s="816">
        <v>122.7</v>
      </c>
      <c r="AL15" s="816">
        <v>52.3</v>
      </c>
      <c r="AM15" s="816">
        <v>112.5</v>
      </c>
      <c r="AN15" s="816">
        <v>446.6</v>
      </c>
      <c r="AO15" s="816">
        <v>15.9</v>
      </c>
      <c r="AP15" s="816">
        <v>683</v>
      </c>
      <c r="AQ15" s="817">
        <v>74</v>
      </c>
      <c r="AR15" s="818">
        <v>29</v>
      </c>
      <c r="AS15" s="818">
        <v>88</v>
      </c>
      <c r="AT15" s="819">
        <v>80</v>
      </c>
      <c r="AU15" s="816">
        <v>579.02499999999998</v>
      </c>
      <c r="AV15" s="1002">
        <v>0.97050000000000003</v>
      </c>
      <c r="AW15" s="816">
        <v>65.490571870170015</v>
      </c>
      <c r="AX15" s="816">
        <v>59.278722308088618</v>
      </c>
      <c r="AY15" s="816">
        <v>471.33410613086039</v>
      </c>
      <c r="AZ15" s="816">
        <v>596.10340030911902</v>
      </c>
      <c r="BA15" s="1015">
        <v>596.10340030911902</v>
      </c>
      <c r="BB15" s="819">
        <v>509.09614800000003</v>
      </c>
      <c r="BC15" s="1002">
        <v>0.54097139874647016</v>
      </c>
      <c r="BD15" s="817"/>
      <c r="BE15" s="819"/>
      <c r="BF15" s="821">
        <v>0.12642967542503863</v>
      </c>
      <c r="BG15" s="821">
        <v>0.51045852653271506</v>
      </c>
      <c r="BH15" s="822">
        <v>300</v>
      </c>
      <c r="BI15" s="821">
        <v>1.0906955177743431E-2</v>
      </c>
      <c r="BJ15" s="821">
        <v>0.26176692426584236</v>
      </c>
      <c r="BK15" s="784">
        <v>0</v>
      </c>
      <c r="BL15" s="1071">
        <v>100</v>
      </c>
      <c r="BN15" s="807">
        <v>0.55000000000000004</v>
      </c>
    </row>
    <row r="16" spans="1:66" x14ac:dyDescent="0.2">
      <c r="A16" s="869" t="s">
        <v>724</v>
      </c>
      <c r="B16" s="869" t="s">
        <v>725</v>
      </c>
      <c r="C16" s="784" t="s">
        <v>700</v>
      </c>
      <c r="D16" s="786" t="s">
        <v>701</v>
      </c>
      <c r="E16" s="784">
        <v>16</v>
      </c>
      <c r="F16" s="784">
        <v>2</v>
      </c>
      <c r="G16" s="719">
        <v>1</v>
      </c>
      <c r="H16" s="784">
        <v>16</v>
      </c>
      <c r="I16" s="786"/>
      <c r="J16" s="852" t="s">
        <v>294</v>
      </c>
      <c r="K16" s="870">
        <v>86</v>
      </c>
      <c r="L16" s="871">
        <v>9</v>
      </c>
      <c r="M16" s="872">
        <v>2</v>
      </c>
      <c r="N16" s="872">
        <v>0.89999999999999991</v>
      </c>
      <c r="O16" s="855">
        <v>20</v>
      </c>
      <c r="P16" s="855">
        <v>16.597510373443981</v>
      </c>
      <c r="Q16" s="854">
        <v>0</v>
      </c>
      <c r="R16" s="857">
        <v>0</v>
      </c>
      <c r="S16" s="857">
        <v>0</v>
      </c>
      <c r="T16" s="857">
        <v>0</v>
      </c>
      <c r="U16" s="857">
        <v>0</v>
      </c>
      <c r="V16" s="854">
        <v>0.9</v>
      </c>
      <c r="W16" s="857">
        <v>0.2</v>
      </c>
      <c r="X16" s="857">
        <v>0.09</v>
      </c>
      <c r="Y16" s="857">
        <v>2</v>
      </c>
      <c r="Z16" s="857">
        <v>1.6597510373443982</v>
      </c>
      <c r="AA16" s="873">
        <v>6.5406976744186052</v>
      </c>
      <c r="AB16" s="859"/>
      <c r="AC16" s="874"/>
      <c r="AD16" s="875"/>
      <c r="AE16" s="860"/>
      <c r="AF16" s="863"/>
      <c r="AG16" s="861"/>
      <c r="AH16" s="862"/>
      <c r="AI16" s="861"/>
      <c r="AJ16" s="863"/>
      <c r="AK16" s="863"/>
      <c r="AL16" s="863"/>
      <c r="AM16" s="863"/>
      <c r="AN16" s="863"/>
      <c r="AO16" s="863"/>
      <c r="AP16" s="863"/>
      <c r="AQ16" s="864"/>
      <c r="AR16" s="865"/>
      <c r="AS16" s="865"/>
      <c r="AT16" s="866"/>
      <c r="AU16" s="863"/>
      <c r="AV16" s="1005">
        <v>0.96</v>
      </c>
      <c r="AW16" s="863"/>
      <c r="AX16" s="863"/>
      <c r="AY16" s="863"/>
      <c r="AZ16" s="863"/>
      <c r="BA16" s="1018">
        <v>619</v>
      </c>
      <c r="BB16" s="866"/>
      <c r="BC16" s="1005">
        <v>0.53</v>
      </c>
      <c r="BD16" s="864"/>
      <c r="BE16" s="866"/>
      <c r="BF16" s="867"/>
      <c r="BG16" s="867"/>
      <c r="BH16" s="868"/>
      <c r="BI16" s="867"/>
      <c r="BJ16" s="867"/>
      <c r="BK16" s="784">
        <v>0</v>
      </c>
      <c r="BL16" s="1071">
        <v>100</v>
      </c>
      <c r="BN16" s="807">
        <v>0.55000000000000004</v>
      </c>
    </row>
    <row r="17" spans="1:66" x14ac:dyDescent="0.2">
      <c r="A17" s="800" t="s">
        <v>726</v>
      </c>
      <c r="B17" s="800" t="s">
        <v>727</v>
      </c>
      <c r="C17" s="784" t="s">
        <v>700</v>
      </c>
      <c r="D17" s="786" t="s">
        <v>701</v>
      </c>
      <c r="E17" s="784">
        <v>16</v>
      </c>
      <c r="F17" s="784">
        <v>1</v>
      </c>
      <c r="G17" s="719">
        <v>2</v>
      </c>
      <c r="H17" s="784">
        <v>1</v>
      </c>
      <c r="I17" s="786">
        <v>1</v>
      </c>
      <c r="J17" s="801" t="s">
        <v>702</v>
      </c>
      <c r="K17" s="802">
        <v>86</v>
      </c>
      <c r="L17" s="803">
        <v>13.799999999999999</v>
      </c>
      <c r="M17" s="804">
        <v>8</v>
      </c>
      <c r="N17" s="804">
        <v>3.5</v>
      </c>
      <c r="O17" s="805">
        <v>5</v>
      </c>
      <c r="P17" s="805">
        <v>4.1493775933609953</v>
      </c>
      <c r="Q17" s="824">
        <v>0.9</v>
      </c>
      <c r="R17" s="808">
        <v>0.2</v>
      </c>
      <c r="S17" s="808">
        <v>0.09</v>
      </c>
      <c r="T17" s="808">
        <v>2</v>
      </c>
      <c r="U17" s="808">
        <v>1.6597510373443982</v>
      </c>
      <c r="V17" s="824">
        <v>2.2799999999999998</v>
      </c>
      <c r="W17" s="808">
        <v>1</v>
      </c>
      <c r="X17" s="808">
        <v>0.43999999999999995</v>
      </c>
      <c r="Y17" s="808">
        <v>2.5</v>
      </c>
      <c r="Z17" s="808">
        <v>2.0746887966804977</v>
      </c>
      <c r="AA17" s="809">
        <v>10</v>
      </c>
      <c r="AB17" s="810">
        <v>90</v>
      </c>
      <c r="AC17" s="820"/>
      <c r="AD17" s="812"/>
      <c r="AE17" s="813"/>
      <c r="AF17" s="813"/>
      <c r="AG17" s="814">
        <v>4205</v>
      </c>
      <c r="AH17" s="815" t="s">
        <v>728</v>
      </c>
      <c r="AI17" s="814">
        <v>880</v>
      </c>
      <c r="AJ17" s="816">
        <v>17.100000000000001</v>
      </c>
      <c r="AK17" s="816">
        <v>102.3</v>
      </c>
      <c r="AL17" s="816">
        <v>45.5</v>
      </c>
      <c r="AM17" s="816">
        <v>26.1</v>
      </c>
      <c r="AN17" s="816">
        <v>695.5</v>
      </c>
      <c r="AO17" s="816">
        <v>19.3</v>
      </c>
      <c r="AP17" s="816">
        <v>809.1</v>
      </c>
      <c r="AQ17" s="817">
        <v>66</v>
      </c>
      <c r="AR17" s="818">
        <v>46</v>
      </c>
      <c r="AS17" s="818">
        <v>83</v>
      </c>
      <c r="AT17" s="819">
        <v>90</v>
      </c>
      <c r="AU17" s="816">
        <v>740.19600000000003</v>
      </c>
      <c r="AV17" s="1002">
        <v>0.98299999999999998</v>
      </c>
      <c r="AW17" s="816">
        <v>48.079959308240085</v>
      </c>
      <c r="AX17" s="816">
        <v>48.022634791454735</v>
      </c>
      <c r="AY17" s="816">
        <v>594.86758901322492</v>
      </c>
      <c r="AZ17" s="816">
        <v>690.9701831129197</v>
      </c>
      <c r="BA17" s="1015">
        <v>690.9701831129197</v>
      </c>
      <c r="BB17" s="819">
        <v>597.71684720000007</v>
      </c>
      <c r="BC17" s="1002">
        <v>0.52712253896797978</v>
      </c>
      <c r="BD17" s="817"/>
      <c r="BE17" s="819"/>
      <c r="BF17" s="876">
        <v>0.10406917599186163</v>
      </c>
      <c r="BG17" s="876">
        <v>0.67660223804679565</v>
      </c>
      <c r="BH17" s="877">
        <v>170</v>
      </c>
      <c r="BI17" s="876">
        <v>1.2408748728382504E-2</v>
      </c>
      <c r="BJ17" s="876">
        <v>0.2978099694811801</v>
      </c>
      <c r="BK17" s="784">
        <v>0</v>
      </c>
      <c r="BL17" s="1071">
        <v>100</v>
      </c>
      <c r="BN17" s="807">
        <v>0.55000000000000004</v>
      </c>
    </row>
    <row r="18" spans="1:66" x14ac:dyDescent="0.2">
      <c r="A18" s="851" t="s">
        <v>731</v>
      </c>
      <c r="B18" s="851"/>
      <c r="C18" s="784" t="s">
        <v>700</v>
      </c>
      <c r="D18" s="786" t="s">
        <v>701</v>
      </c>
      <c r="E18" s="784">
        <v>5</v>
      </c>
      <c r="F18" s="784"/>
      <c r="G18" s="719">
        <v>0</v>
      </c>
      <c r="H18" s="784">
        <v>4</v>
      </c>
      <c r="I18" s="786">
        <v>1</v>
      </c>
      <c r="J18" s="852"/>
      <c r="K18" s="853"/>
      <c r="L18" s="856"/>
      <c r="M18" s="855"/>
      <c r="N18" s="856"/>
      <c r="O18" s="856"/>
      <c r="P18" s="856"/>
      <c r="Q18" s="854"/>
      <c r="R18" s="857"/>
      <c r="S18" s="857"/>
      <c r="T18" s="857"/>
      <c r="U18" s="857"/>
      <c r="V18" s="854"/>
      <c r="W18" s="857"/>
      <c r="X18" s="857"/>
      <c r="Y18" s="857"/>
      <c r="Z18" s="857"/>
      <c r="AA18" s="858"/>
      <c r="AB18" s="859"/>
      <c r="AC18" s="860"/>
      <c r="AD18" s="875"/>
      <c r="AE18" s="860"/>
      <c r="AF18" s="860"/>
      <c r="AG18" s="861"/>
      <c r="AH18" s="862"/>
      <c r="AI18" s="861"/>
      <c r="AJ18" s="863"/>
      <c r="AK18" s="863"/>
      <c r="AL18" s="863"/>
      <c r="AM18" s="863"/>
      <c r="AN18" s="863"/>
      <c r="AO18" s="863"/>
      <c r="AP18" s="863"/>
      <c r="AQ18" s="864"/>
      <c r="AR18" s="865"/>
      <c r="AS18" s="865"/>
      <c r="AT18" s="866"/>
      <c r="AU18" s="863" t="s">
        <v>708</v>
      </c>
      <c r="AV18" s="1005" t="s">
        <v>708</v>
      </c>
      <c r="AW18" s="863" t="s">
        <v>708</v>
      </c>
      <c r="AX18" s="863" t="s">
        <v>708</v>
      </c>
      <c r="AY18" s="863" t="s">
        <v>708</v>
      </c>
      <c r="AZ18" s="863" t="s">
        <v>708</v>
      </c>
      <c r="BA18" s="1018" t="s">
        <v>708</v>
      </c>
      <c r="BB18" s="866" t="s">
        <v>708</v>
      </c>
      <c r="BC18" s="1005" t="s">
        <v>708</v>
      </c>
      <c r="BD18" s="864"/>
      <c r="BE18" s="866"/>
      <c r="BF18" s="867" t="s">
        <v>708</v>
      </c>
      <c r="BG18" s="867" t="s">
        <v>708</v>
      </c>
      <c r="BH18" s="868" t="s">
        <v>708</v>
      </c>
      <c r="BI18" s="867" t="s">
        <v>708</v>
      </c>
      <c r="BJ18" s="867" t="s">
        <v>708</v>
      </c>
      <c r="BK18" s="784">
        <v>0</v>
      </c>
      <c r="BL18" s="1071">
        <v>100</v>
      </c>
      <c r="BN18" s="807">
        <v>0.55000000000000004</v>
      </c>
    </row>
    <row r="19" spans="1:66" x14ac:dyDescent="0.2">
      <c r="A19" s="800" t="s">
        <v>850</v>
      </c>
      <c r="B19" s="800" t="s">
        <v>732</v>
      </c>
      <c r="C19" s="784" t="s">
        <v>700</v>
      </c>
      <c r="D19" s="786" t="s">
        <v>701</v>
      </c>
      <c r="E19" s="784">
        <v>5</v>
      </c>
      <c r="F19" s="784">
        <v>1</v>
      </c>
      <c r="G19" s="719">
        <v>2</v>
      </c>
      <c r="H19" s="784">
        <v>4</v>
      </c>
      <c r="I19" s="786">
        <v>1</v>
      </c>
      <c r="J19" s="801" t="s">
        <v>733</v>
      </c>
      <c r="K19" s="802">
        <v>22</v>
      </c>
      <c r="L19" s="880">
        <v>3.5</v>
      </c>
      <c r="M19" s="804">
        <v>1.4000000000000001</v>
      </c>
      <c r="N19" s="880">
        <v>0.6</v>
      </c>
      <c r="O19" s="881">
        <v>6</v>
      </c>
      <c r="P19" s="805">
        <v>4.9792531120331942</v>
      </c>
      <c r="Q19" s="824">
        <v>0.2</v>
      </c>
      <c r="R19" s="808">
        <v>0.04</v>
      </c>
      <c r="S19" s="808">
        <v>0.02</v>
      </c>
      <c r="T19" s="808">
        <v>0.36</v>
      </c>
      <c r="U19" s="808">
        <v>0.29875518672199169</v>
      </c>
      <c r="V19" s="824">
        <v>0.39</v>
      </c>
      <c r="W19" s="808">
        <v>0.14800000000000002</v>
      </c>
      <c r="X19" s="808">
        <v>7.0000000000000007E-2</v>
      </c>
      <c r="Y19" s="808">
        <v>0.67199999999999993</v>
      </c>
      <c r="Z19" s="808">
        <v>0.55767634854771775</v>
      </c>
      <c r="AA19" s="847"/>
      <c r="AB19" s="810">
        <v>450</v>
      </c>
      <c r="AC19" s="813"/>
      <c r="AD19" s="812"/>
      <c r="AE19" s="813"/>
      <c r="AF19" s="813"/>
      <c r="AG19" s="814">
        <v>5605</v>
      </c>
      <c r="AH19" s="815" t="s">
        <v>734</v>
      </c>
      <c r="AI19" s="814">
        <v>220</v>
      </c>
      <c r="AJ19" s="816">
        <v>62</v>
      </c>
      <c r="AK19" s="816">
        <v>97</v>
      </c>
      <c r="AL19" s="816">
        <v>4</v>
      </c>
      <c r="AM19" s="816">
        <v>27</v>
      </c>
      <c r="AN19" s="816">
        <v>710</v>
      </c>
      <c r="AO19" s="816">
        <v>31</v>
      </c>
      <c r="AP19" s="816">
        <v>810</v>
      </c>
      <c r="AQ19" s="817">
        <v>72</v>
      </c>
      <c r="AR19" s="818">
        <v>90</v>
      </c>
      <c r="AS19" s="818">
        <v>0</v>
      </c>
      <c r="AT19" s="819">
        <v>96</v>
      </c>
      <c r="AU19" s="816">
        <v>801.9</v>
      </c>
      <c r="AV19" s="1002">
        <v>0.93799999999999994</v>
      </c>
      <c r="AW19" s="816">
        <v>52.119402985074629</v>
      </c>
      <c r="AX19" s="816">
        <v>0</v>
      </c>
      <c r="AY19" s="816">
        <v>675.3742004264393</v>
      </c>
      <c r="AZ19" s="816">
        <v>727.49360341151396</v>
      </c>
      <c r="BA19" s="1015">
        <v>727.49360341151396</v>
      </c>
      <c r="BB19" s="819">
        <v>150.12558000000001</v>
      </c>
      <c r="BC19" s="1002">
        <v>0.51504490840268524</v>
      </c>
      <c r="BD19" s="817"/>
      <c r="BE19" s="819"/>
      <c r="BF19" s="876">
        <v>0.10341151385927506</v>
      </c>
      <c r="BG19" s="876">
        <v>0.71108742004264403</v>
      </c>
      <c r="BH19" s="877">
        <v>170</v>
      </c>
      <c r="BI19" s="876">
        <v>1.2808102345415779E-2</v>
      </c>
      <c r="BJ19" s="876">
        <v>0.30739445628997869</v>
      </c>
      <c r="BK19" s="784">
        <v>0</v>
      </c>
      <c r="BL19" s="1071">
        <v>100</v>
      </c>
      <c r="BN19" s="807">
        <v>0.55000000000000004</v>
      </c>
    </row>
    <row r="20" spans="1:66" x14ac:dyDescent="0.2">
      <c r="A20" s="800" t="s">
        <v>735</v>
      </c>
      <c r="B20" s="800" t="s">
        <v>736</v>
      </c>
      <c r="C20" s="784" t="s">
        <v>700</v>
      </c>
      <c r="D20" s="786" t="s">
        <v>701</v>
      </c>
      <c r="E20" s="784">
        <v>5</v>
      </c>
      <c r="F20" s="784">
        <v>1</v>
      </c>
      <c r="G20" s="719">
        <v>2</v>
      </c>
      <c r="H20" s="784">
        <v>4</v>
      </c>
      <c r="I20" s="786">
        <v>1</v>
      </c>
      <c r="J20" s="801" t="s">
        <v>737</v>
      </c>
      <c r="K20" s="802">
        <v>23</v>
      </c>
      <c r="L20" s="880">
        <v>1.7999999999999998</v>
      </c>
      <c r="M20" s="804">
        <v>1</v>
      </c>
      <c r="N20" s="880">
        <v>0.4</v>
      </c>
      <c r="O20" s="881">
        <v>2.5</v>
      </c>
      <c r="P20" s="805">
        <v>2.0746887966804977</v>
      </c>
      <c r="Q20" s="824">
        <v>0.4</v>
      </c>
      <c r="R20" s="808">
        <v>0.11</v>
      </c>
      <c r="S20" s="808">
        <v>0.05</v>
      </c>
      <c r="T20" s="808">
        <v>0.71</v>
      </c>
      <c r="U20" s="808">
        <v>0.58921161825726132</v>
      </c>
      <c r="V20" s="824">
        <v>0.45999999999999996</v>
      </c>
      <c r="W20" s="808">
        <v>0.17699999999999999</v>
      </c>
      <c r="X20" s="808">
        <v>7.4999999999999997E-2</v>
      </c>
      <c r="Y20" s="808">
        <v>0.74699999999999989</v>
      </c>
      <c r="Z20" s="808">
        <v>0.61991701244813269</v>
      </c>
      <c r="AA20" s="847"/>
      <c r="AB20" s="810">
        <v>650</v>
      </c>
      <c r="AC20" s="813"/>
      <c r="AD20" s="812"/>
      <c r="AE20" s="813"/>
      <c r="AF20" s="813"/>
      <c r="AG20" s="814">
        <v>5505</v>
      </c>
      <c r="AH20" s="815" t="s">
        <v>738</v>
      </c>
      <c r="AI20" s="814">
        <v>230</v>
      </c>
      <c r="AJ20" s="816">
        <v>80</v>
      </c>
      <c r="AK20" s="816">
        <v>80</v>
      </c>
      <c r="AL20" s="816">
        <v>6</v>
      </c>
      <c r="AM20" s="816">
        <v>85</v>
      </c>
      <c r="AN20" s="816">
        <v>0</v>
      </c>
      <c r="AO20" s="816">
        <v>647</v>
      </c>
      <c r="AP20" s="816">
        <v>749</v>
      </c>
      <c r="AQ20" s="817">
        <v>50</v>
      </c>
      <c r="AR20" s="818">
        <v>52</v>
      </c>
      <c r="AS20" s="818">
        <v>0</v>
      </c>
      <c r="AT20" s="819">
        <v>95</v>
      </c>
      <c r="AU20" s="816">
        <v>755.75</v>
      </c>
      <c r="AV20" s="1002">
        <v>0.92</v>
      </c>
      <c r="AW20" s="816">
        <v>30.434782608695652</v>
      </c>
      <c r="AX20" s="816">
        <v>0</v>
      </c>
      <c r="AY20" s="816">
        <v>648.95923913043475</v>
      </c>
      <c r="AZ20" s="816">
        <v>679.39402173913038</v>
      </c>
      <c r="BA20" s="1015">
        <v>679.39402173913038</v>
      </c>
      <c r="BB20" s="819">
        <v>143.75977499999999</v>
      </c>
      <c r="BC20" s="1002">
        <v>0.50940736029949973</v>
      </c>
      <c r="BD20" s="817"/>
      <c r="BE20" s="819"/>
      <c r="BF20" s="876">
        <v>8.6956521739130432E-2</v>
      </c>
      <c r="BG20" s="876">
        <v>0.67826086956521736</v>
      </c>
      <c r="BH20" s="877">
        <v>210</v>
      </c>
      <c r="BI20" s="876">
        <v>1.2052173913043479E-2</v>
      </c>
      <c r="BJ20" s="876">
        <v>0.28925217391304348</v>
      </c>
      <c r="BK20" s="784">
        <v>0</v>
      </c>
      <c r="BL20" s="1071">
        <v>40</v>
      </c>
      <c r="BN20" s="807">
        <v>0.55000000000000004</v>
      </c>
    </row>
    <row r="21" spans="1:66" x14ac:dyDescent="0.2">
      <c r="A21" s="800" t="s">
        <v>739</v>
      </c>
      <c r="B21" s="800" t="s">
        <v>740</v>
      </c>
      <c r="C21" s="784" t="s">
        <v>700</v>
      </c>
      <c r="D21" s="786" t="s">
        <v>701</v>
      </c>
      <c r="E21" s="784">
        <v>5</v>
      </c>
      <c r="F21" s="784">
        <v>1</v>
      </c>
      <c r="G21" s="719">
        <v>2</v>
      </c>
      <c r="H21" s="784">
        <v>4</v>
      </c>
      <c r="I21" s="786">
        <v>1</v>
      </c>
      <c r="J21" s="801" t="s">
        <v>737</v>
      </c>
      <c r="K21" s="802">
        <v>15</v>
      </c>
      <c r="L21" s="880">
        <v>1.7999999999999998</v>
      </c>
      <c r="M21" s="804">
        <v>0.89999999999999991</v>
      </c>
      <c r="N21" s="880">
        <v>0.4</v>
      </c>
      <c r="O21" s="881">
        <v>5</v>
      </c>
      <c r="P21" s="805">
        <v>4.1493775933609953</v>
      </c>
      <c r="Q21" s="824">
        <v>0.3</v>
      </c>
      <c r="R21" s="808">
        <v>0.08</v>
      </c>
      <c r="S21" s="808">
        <v>0.03</v>
      </c>
      <c r="T21" s="808">
        <v>0.63</v>
      </c>
      <c r="U21" s="808">
        <v>0.5228215767634854</v>
      </c>
      <c r="V21" s="824">
        <v>0.3</v>
      </c>
      <c r="W21" s="808">
        <v>0.122</v>
      </c>
      <c r="X21" s="808">
        <v>5.2000000000000005E-2</v>
      </c>
      <c r="Y21" s="808">
        <v>0.752</v>
      </c>
      <c r="Z21" s="808">
        <v>0.62406639004149378</v>
      </c>
      <c r="AA21" s="847"/>
      <c r="AB21" s="832">
        <v>650</v>
      </c>
      <c r="AC21" s="813"/>
      <c r="AD21" s="812"/>
      <c r="AE21" s="813"/>
      <c r="AF21" s="813"/>
      <c r="AG21" s="814">
        <v>5555</v>
      </c>
      <c r="AH21" s="815" t="s">
        <v>741</v>
      </c>
      <c r="AI21" s="814">
        <v>146</v>
      </c>
      <c r="AJ21" s="816">
        <v>90</v>
      </c>
      <c r="AK21" s="816">
        <v>80</v>
      </c>
      <c r="AL21" s="816">
        <v>8</v>
      </c>
      <c r="AM21" s="816">
        <v>70</v>
      </c>
      <c r="AN21" s="816">
        <v>0</v>
      </c>
      <c r="AO21" s="816">
        <v>545</v>
      </c>
      <c r="AP21" s="816">
        <v>752</v>
      </c>
      <c r="AQ21" s="817">
        <v>55</v>
      </c>
      <c r="AR21" s="818">
        <v>62</v>
      </c>
      <c r="AS21" s="818">
        <v>0</v>
      </c>
      <c r="AT21" s="819">
        <v>94</v>
      </c>
      <c r="AU21" s="816">
        <v>750.28</v>
      </c>
      <c r="AV21" s="1002">
        <v>0.91</v>
      </c>
      <c r="AW21" s="816">
        <v>33.846153846153847</v>
      </c>
      <c r="AX21" s="816">
        <v>0</v>
      </c>
      <c r="AY21" s="816">
        <v>651.34197802197798</v>
      </c>
      <c r="AZ21" s="816">
        <v>685.18813186813179</v>
      </c>
      <c r="BA21" s="1015">
        <v>685.18813186813179</v>
      </c>
      <c r="BB21" s="819">
        <v>91.034095199999996</v>
      </c>
      <c r="BC21" s="1002">
        <v>0.51037334416215518</v>
      </c>
      <c r="BD21" s="817"/>
      <c r="BE21" s="819"/>
      <c r="BF21" s="876">
        <v>8.7912087912087919E-2</v>
      </c>
      <c r="BG21" s="876">
        <v>0.65054945054945046</v>
      </c>
      <c r="BH21" s="877">
        <v>230</v>
      </c>
      <c r="BI21" s="876">
        <v>1.174065934065934E-2</v>
      </c>
      <c r="BJ21" s="876">
        <v>0.28177582417582414</v>
      </c>
      <c r="BK21" s="784">
        <v>0</v>
      </c>
      <c r="BL21" s="1071">
        <v>40</v>
      </c>
      <c r="BN21" s="807">
        <v>0.55000000000000004</v>
      </c>
    </row>
    <row r="22" spans="1:66" x14ac:dyDescent="0.2">
      <c r="A22" s="800"/>
      <c r="B22" s="800"/>
      <c r="C22" s="784"/>
      <c r="D22" s="786"/>
      <c r="E22" s="784"/>
      <c r="F22" s="784"/>
      <c r="G22" s="719"/>
      <c r="H22" s="784"/>
      <c r="I22" s="786"/>
      <c r="J22" s="801"/>
      <c r="K22" s="802"/>
      <c r="L22" s="880"/>
      <c r="M22" s="804"/>
      <c r="N22" s="880"/>
      <c r="O22" s="881"/>
      <c r="P22" s="881"/>
      <c r="Q22" s="824"/>
      <c r="R22" s="808"/>
      <c r="S22" s="808"/>
      <c r="T22" s="808"/>
      <c r="U22" s="808"/>
      <c r="V22" s="824"/>
      <c r="W22" s="808"/>
      <c r="X22" s="808"/>
      <c r="Y22" s="808"/>
      <c r="Z22" s="808"/>
      <c r="AA22" s="847"/>
      <c r="AB22" s="832"/>
      <c r="AC22" s="813"/>
      <c r="AD22" s="812"/>
      <c r="AE22" s="813"/>
      <c r="AF22" s="813"/>
      <c r="AG22" s="814"/>
      <c r="AH22" s="815"/>
      <c r="AI22" s="814"/>
      <c r="AJ22" s="816"/>
      <c r="AK22" s="816"/>
      <c r="AL22" s="816"/>
      <c r="AM22" s="816"/>
      <c r="AN22" s="816"/>
      <c r="AO22" s="816"/>
      <c r="AP22" s="816"/>
      <c r="AQ22" s="817"/>
      <c r="AR22" s="818"/>
      <c r="AS22" s="818"/>
      <c r="AT22" s="819"/>
      <c r="AU22" s="816"/>
      <c r="AV22" s="1002"/>
      <c r="AW22" s="816"/>
      <c r="AX22" s="816"/>
      <c r="AY22" s="816"/>
      <c r="AZ22" s="816"/>
      <c r="BA22" s="1015"/>
      <c r="BB22" s="819"/>
      <c r="BC22" s="1002"/>
      <c r="BD22" s="817"/>
      <c r="BE22" s="819"/>
      <c r="BF22" s="876"/>
      <c r="BG22" s="876"/>
      <c r="BH22" s="877"/>
      <c r="BI22" s="876"/>
      <c r="BJ22" s="876"/>
      <c r="BK22" s="784"/>
      <c r="BL22" s="1071">
        <v>100</v>
      </c>
      <c r="BN22" s="807">
        <v>0.55000000000000004</v>
      </c>
    </row>
    <row r="23" spans="1:66" x14ac:dyDescent="0.2">
      <c r="A23" s="851" t="s">
        <v>742</v>
      </c>
      <c r="B23" s="851"/>
      <c r="C23" s="784" t="s">
        <v>700</v>
      </c>
      <c r="D23" s="786" t="s">
        <v>701</v>
      </c>
      <c r="E23" s="784">
        <v>6</v>
      </c>
      <c r="F23" s="784"/>
      <c r="G23" s="719">
        <v>0</v>
      </c>
      <c r="H23" s="784">
        <v>5</v>
      </c>
      <c r="I23" s="786"/>
      <c r="J23" s="852"/>
      <c r="K23" s="853"/>
      <c r="L23" s="856"/>
      <c r="M23" s="855"/>
      <c r="N23" s="856"/>
      <c r="O23" s="856"/>
      <c r="P23" s="856"/>
      <c r="Q23" s="854"/>
      <c r="R23" s="857"/>
      <c r="S23" s="857"/>
      <c r="T23" s="857"/>
      <c r="U23" s="857"/>
      <c r="V23" s="854"/>
      <c r="W23" s="857"/>
      <c r="X23" s="857"/>
      <c r="Y23" s="857"/>
      <c r="Z23" s="857"/>
      <c r="AA23" s="858"/>
      <c r="AB23" s="859"/>
      <c r="AC23" s="860"/>
      <c r="AD23" s="875"/>
      <c r="AE23" s="860"/>
      <c r="AF23" s="860"/>
      <c r="AG23" s="861"/>
      <c r="AH23" s="862"/>
      <c r="AI23" s="861"/>
      <c r="AJ23" s="863"/>
      <c r="AK23" s="863"/>
      <c r="AL23" s="863"/>
      <c r="AM23" s="863"/>
      <c r="AN23" s="863"/>
      <c r="AO23" s="863"/>
      <c r="AP23" s="863"/>
      <c r="AQ23" s="864"/>
      <c r="AR23" s="865"/>
      <c r="AS23" s="865"/>
      <c r="AT23" s="866"/>
      <c r="AU23" s="863" t="s">
        <v>708</v>
      </c>
      <c r="AV23" s="1005" t="s">
        <v>708</v>
      </c>
      <c r="AW23" s="863" t="s">
        <v>708</v>
      </c>
      <c r="AX23" s="863" t="s">
        <v>708</v>
      </c>
      <c r="AY23" s="863" t="s">
        <v>708</v>
      </c>
      <c r="AZ23" s="863" t="s">
        <v>708</v>
      </c>
      <c r="BA23" s="1018" t="s">
        <v>708</v>
      </c>
      <c r="BB23" s="866" t="s">
        <v>708</v>
      </c>
      <c r="BC23" s="1005" t="s">
        <v>708</v>
      </c>
      <c r="BD23" s="864"/>
      <c r="BE23" s="866"/>
      <c r="BF23" s="867" t="s">
        <v>708</v>
      </c>
      <c r="BG23" s="867" t="s">
        <v>708</v>
      </c>
      <c r="BH23" s="868" t="s">
        <v>708</v>
      </c>
      <c r="BI23" s="867" t="s">
        <v>708</v>
      </c>
      <c r="BJ23" s="867" t="s">
        <v>708</v>
      </c>
      <c r="BK23" s="784">
        <v>0</v>
      </c>
      <c r="BL23" s="1071">
        <v>100</v>
      </c>
      <c r="BN23" s="807">
        <v>0.55000000000000004</v>
      </c>
    </row>
    <row r="24" spans="1:66" x14ac:dyDescent="0.2">
      <c r="A24" s="823" t="s">
        <v>743</v>
      </c>
      <c r="B24" s="823" t="s">
        <v>744</v>
      </c>
      <c r="C24" s="784" t="s">
        <v>700</v>
      </c>
      <c r="D24" s="786" t="s">
        <v>701</v>
      </c>
      <c r="E24" s="784">
        <v>6</v>
      </c>
      <c r="F24" s="784">
        <v>3</v>
      </c>
      <c r="G24" s="719">
        <v>1</v>
      </c>
      <c r="H24" s="784">
        <v>5</v>
      </c>
      <c r="I24" s="786"/>
      <c r="J24" s="837" t="s">
        <v>730</v>
      </c>
      <c r="K24" s="826">
        <v>20</v>
      </c>
      <c r="L24" s="883">
        <v>5.2</v>
      </c>
      <c r="M24" s="839">
        <v>1.6</v>
      </c>
      <c r="N24" s="883">
        <v>0.69838498472282851</v>
      </c>
      <c r="O24" s="883">
        <v>6.5</v>
      </c>
      <c r="P24" s="883">
        <v>5.3941908713692941</v>
      </c>
      <c r="Q24" s="806">
        <v>0</v>
      </c>
      <c r="R24" s="807">
        <v>0</v>
      </c>
      <c r="S24" s="807">
        <v>0</v>
      </c>
      <c r="T24" s="807">
        <v>0</v>
      </c>
      <c r="U24" s="807">
        <v>0</v>
      </c>
      <c r="V24" s="806">
        <v>0.52</v>
      </c>
      <c r="W24" s="807">
        <v>0.16</v>
      </c>
      <c r="X24" s="807">
        <v>6.9838498472282851E-2</v>
      </c>
      <c r="Y24" s="807">
        <v>0.65</v>
      </c>
      <c r="Z24" s="807">
        <v>0.53941908713692943</v>
      </c>
      <c r="AA24" s="886">
        <v>16.2</v>
      </c>
      <c r="AB24" s="841">
        <v>500</v>
      </c>
      <c r="AC24" s="827"/>
      <c r="AD24" s="794"/>
      <c r="AE24" s="827"/>
      <c r="AF24" s="827" t="s">
        <v>377</v>
      </c>
      <c r="AG24" s="833">
        <v>2815</v>
      </c>
      <c r="AH24" s="834" t="s">
        <v>745</v>
      </c>
      <c r="AI24" s="833">
        <v>350</v>
      </c>
      <c r="AJ24" s="828">
        <v>135</v>
      </c>
      <c r="AK24" s="828">
        <v>162</v>
      </c>
      <c r="AL24" s="828">
        <v>50</v>
      </c>
      <c r="AM24" s="828">
        <v>250</v>
      </c>
      <c r="AN24" s="828">
        <v>0</v>
      </c>
      <c r="AO24" s="828">
        <v>35</v>
      </c>
      <c r="AP24" s="828">
        <v>403</v>
      </c>
      <c r="AQ24" s="829">
        <v>70.5</v>
      </c>
      <c r="AR24" s="835">
        <v>77</v>
      </c>
      <c r="AS24" s="835">
        <v>67.8</v>
      </c>
      <c r="AT24" s="830">
        <v>75.599999999999994</v>
      </c>
      <c r="AU24" s="828">
        <v>497.16800000000001</v>
      </c>
      <c r="AV24" s="1003">
        <v>0.86499999999999999</v>
      </c>
      <c r="AW24" s="828">
        <v>92.424277456647388</v>
      </c>
      <c r="AX24" s="828">
        <v>48.98843930635838</v>
      </c>
      <c r="AY24" s="828">
        <v>454.06094797687859</v>
      </c>
      <c r="AZ24" s="828">
        <v>595.47366473988438</v>
      </c>
      <c r="BA24" s="1016">
        <v>595.47366473988438</v>
      </c>
      <c r="BB24" s="830">
        <v>180.279652</v>
      </c>
      <c r="BC24" s="1003">
        <v>0.54740262922184912</v>
      </c>
      <c r="BD24" s="829"/>
      <c r="BE24" s="830"/>
      <c r="BF24" s="849">
        <v>0.18728323699421967</v>
      </c>
      <c r="BG24" s="849">
        <v>0.17109826589595378</v>
      </c>
      <c r="BH24" s="850">
        <v>505</v>
      </c>
      <c r="BI24" s="849">
        <v>8.1734104046242775E-3</v>
      </c>
      <c r="BJ24" s="849">
        <v>0.19616184971098266</v>
      </c>
      <c r="BK24" s="784">
        <v>0</v>
      </c>
      <c r="BL24" s="1071">
        <v>100</v>
      </c>
      <c r="BN24" s="807">
        <v>0.55000000000000004</v>
      </c>
    </row>
    <row r="25" spans="1:66" x14ac:dyDescent="0.2">
      <c r="A25" s="823" t="s">
        <v>746</v>
      </c>
      <c r="B25" s="823" t="s">
        <v>747</v>
      </c>
      <c r="C25" s="784" t="s">
        <v>700</v>
      </c>
      <c r="D25" s="786" t="s">
        <v>701</v>
      </c>
      <c r="E25" s="784">
        <v>6</v>
      </c>
      <c r="F25" s="784">
        <v>3</v>
      </c>
      <c r="G25" s="719">
        <v>1</v>
      </c>
      <c r="H25" s="784">
        <v>5</v>
      </c>
      <c r="I25" s="786"/>
      <c r="J25" s="837" t="s">
        <v>730</v>
      </c>
      <c r="K25" s="844">
        <v>20</v>
      </c>
      <c r="L25" s="882">
        <v>5.3000000000000007</v>
      </c>
      <c r="M25" s="845">
        <v>1.6</v>
      </c>
      <c r="N25" s="882">
        <v>0.70000000000000007</v>
      </c>
      <c r="O25" s="883">
        <v>7.1999999999999993</v>
      </c>
      <c r="P25" s="883">
        <v>5.9751037344398341</v>
      </c>
      <c r="Q25" s="806">
        <v>0</v>
      </c>
      <c r="R25" s="807">
        <v>0</v>
      </c>
      <c r="S25" s="807">
        <v>0</v>
      </c>
      <c r="T25" s="807">
        <v>0</v>
      </c>
      <c r="U25" s="807">
        <v>0</v>
      </c>
      <c r="V25" s="806">
        <v>0.53</v>
      </c>
      <c r="W25" s="807">
        <v>0.16</v>
      </c>
      <c r="X25" s="807">
        <v>7.0000000000000007E-2</v>
      </c>
      <c r="Y25" s="807">
        <v>0.72</v>
      </c>
      <c r="Z25" s="807">
        <v>0.59751037344398339</v>
      </c>
      <c r="AA25" s="886">
        <v>16.600000000000001</v>
      </c>
      <c r="AB25" s="841">
        <v>600</v>
      </c>
      <c r="AC25" s="827"/>
      <c r="AD25" s="794"/>
      <c r="AE25" s="827"/>
      <c r="AF25" s="827" t="s">
        <v>377</v>
      </c>
      <c r="AG25" s="833">
        <v>2815</v>
      </c>
      <c r="AH25" s="834" t="s">
        <v>745</v>
      </c>
      <c r="AI25" s="833">
        <v>350</v>
      </c>
      <c r="AJ25" s="828">
        <v>135</v>
      </c>
      <c r="AK25" s="828">
        <v>162</v>
      </c>
      <c r="AL25" s="828">
        <v>50</v>
      </c>
      <c r="AM25" s="828">
        <v>250</v>
      </c>
      <c r="AN25" s="828">
        <v>0</v>
      </c>
      <c r="AO25" s="828">
        <v>35</v>
      </c>
      <c r="AP25" s="828">
        <v>403</v>
      </c>
      <c r="AQ25" s="829">
        <v>70.5</v>
      </c>
      <c r="AR25" s="835">
        <v>77</v>
      </c>
      <c r="AS25" s="835">
        <v>67.8</v>
      </c>
      <c r="AT25" s="830">
        <v>75.599999999999994</v>
      </c>
      <c r="AU25" s="828">
        <v>497.16800000000001</v>
      </c>
      <c r="AV25" s="1003">
        <v>0.86499999999999999</v>
      </c>
      <c r="AW25" s="828">
        <v>92.424277456647388</v>
      </c>
      <c r="AX25" s="828">
        <v>48.98843930635838</v>
      </c>
      <c r="AY25" s="828">
        <v>454.06094797687859</v>
      </c>
      <c r="AZ25" s="828">
        <v>595.47366473988438</v>
      </c>
      <c r="BA25" s="1016">
        <v>595.47366473988438</v>
      </c>
      <c r="BB25" s="830">
        <v>180.279652</v>
      </c>
      <c r="BC25" s="1003">
        <v>0.54740262922184912</v>
      </c>
      <c r="BD25" s="829"/>
      <c r="BE25" s="830"/>
      <c r="BF25" s="849">
        <v>0.18728323699421967</v>
      </c>
      <c r="BG25" s="849">
        <v>0.17109826589595378</v>
      </c>
      <c r="BH25" s="850">
        <v>505</v>
      </c>
      <c r="BI25" s="849">
        <v>8.1734104046242775E-3</v>
      </c>
      <c r="BJ25" s="849">
        <v>0.19616184971098266</v>
      </c>
      <c r="BK25" s="784">
        <v>0</v>
      </c>
      <c r="BL25" s="1071">
        <v>100</v>
      </c>
      <c r="BN25" s="807">
        <v>0.55000000000000004</v>
      </c>
    </row>
    <row r="26" spans="1:66" x14ac:dyDescent="0.2">
      <c r="A26" s="823" t="s">
        <v>748</v>
      </c>
      <c r="B26" s="823" t="s">
        <v>749</v>
      </c>
      <c r="C26" s="784" t="s">
        <v>700</v>
      </c>
      <c r="D26" s="786" t="s">
        <v>701</v>
      </c>
      <c r="E26" s="784">
        <v>6</v>
      </c>
      <c r="F26" s="784">
        <v>3</v>
      </c>
      <c r="G26" s="719">
        <v>1</v>
      </c>
      <c r="H26" s="784">
        <v>5</v>
      </c>
      <c r="I26" s="786"/>
      <c r="J26" s="837" t="s">
        <v>730</v>
      </c>
      <c r="K26" s="844">
        <v>20</v>
      </c>
      <c r="L26" s="883">
        <v>5.6000000000000005</v>
      </c>
      <c r="M26" s="839">
        <v>1.5</v>
      </c>
      <c r="N26" s="883">
        <v>0.65473592317765172</v>
      </c>
      <c r="O26" s="883">
        <v>6.7</v>
      </c>
      <c r="P26" s="883">
        <v>5.5601659751037342</v>
      </c>
      <c r="Q26" s="806">
        <v>0</v>
      </c>
      <c r="R26" s="807">
        <v>0</v>
      </c>
      <c r="S26" s="807">
        <v>0</v>
      </c>
      <c r="T26" s="807">
        <v>0</v>
      </c>
      <c r="U26" s="807">
        <v>0</v>
      </c>
      <c r="V26" s="806">
        <v>0.56000000000000005</v>
      </c>
      <c r="W26" s="807">
        <v>0.15</v>
      </c>
      <c r="X26" s="807">
        <v>6.5473592317765172E-2</v>
      </c>
      <c r="Y26" s="807">
        <v>0.67</v>
      </c>
      <c r="Z26" s="807">
        <v>0.55601659751037347</v>
      </c>
      <c r="AA26" s="840">
        <v>17.600000000000001</v>
      </c>
      <c r="AB26" s="841">
        <v>550</v>
      </c>
      <c r="AC26" s="885">
        <v>0.2</v>
      </c>
      <c r="AD26" s="794"/>
      <c r="AE26" s="827"/>
      <c r="AF26" s="827" t="s">
        <v>377</v>
      </c>
      <c r="AG26" s="833">
        <v>2644</v>
      </c>
      <c r="AH26" s="834" t="s">
        <v>750</v>
      </c>
      <c r="AI26" s="833">
        <v>350</v>
      </c>
      <c r="AJ26" s="828">
        <v>130</v>
      </c>
      <c r="AK26" s="828">
        <v>190</v>
      </c>
      <c r="AL26" s="828">
        <v>40</v>
      </c>
      <c r="AM26" s="828">
        <v>210</v>
      </c>
      <c r="AN26" s="828">
        <v>0</v>
      </c>
      <c r="AO26" s="828">
        <v>20</v>
      </c>
      <c r="AP26" s="828">
        <v>430</v>
      </c>
      <c r="AQ26" s="829">
        <v>72.3</v>
      </c>
      <c r="AR26" s="835">
        <v>70.3</v>
      </c>
      <c r="AS26" s="835">
        <v>64</v>
      </c>
      <c r="AT26" s="830">
        <v>74.900000000000006</v>
      </c>
      <c r="AU26" s="828">
        <v>469.7</v>
      </c>
      <c r="AV26" s="1003">
        <v>0.87</v>
      </c>
      <c r="AW26" s="828">
        <v>110.52758620689654</v>
      </c>
      <c r="AX26" s="828">
        <v>36.781609195402304</v>
      </c>
      <c r="AY26" s="828">
        <v>426.50919540229881</v>
      </c>
      <c r="AZ26" s="828">
        <v>573.8183908045977</v>
      </c>
      <c r="BA26" s="1016">
        <v>573.8183908045977</v>
      </c>
      <c r="BB26" s="830">
        <v>174.7277</v>
      </c>
      <c r="BC26" s="1003">
        <v>0.55198767281890615</v>
      </c>
      <c r="BD26" s="829"/>
      <c r="BE26" s="830"/>
      <c r="BF26" s="849">
        <v>0.21839080459770116</v>
      </c>
      <c r="BG26" s="849">
        <v>0.2413793103448276</v>
      </c>
      <c r="BH26" s="850">
        <v>430</v>
      </c>
      <c r="BI26" s="849">
        <v>9.7011494252873566E-3</v>
      </c>
      <c r="BJ26" s="849">
        <v>0.23282758620689656</v>
      </c>
      <c r="BK26" s="784">
        <v>0</v>
      </c>
      <c r="BL26" s="1071">
        <v>100</v>
      </c>
      <c r="BN26" s="807">
        <v>0.55000000000000004</v>
      </c>
    </row>
    <row r="27" spans="1:66" x14ac:dyDescent="0.2">
      <c r="A27" s="823" t="s">
        <v>751</v>
      </c>
      <c r="B27" s="823" t="s">
        <v>752</v>
      </c>
      <c r="C27" s="784" t="s">
        <v>700</v>
      </c>
      <c r="D27" s="786" t="s">
        <v>701</v>
      </c>
      <c r="E27" s="784">
        <v>6</v>
      </c>
      <c r="F27" s="784">
        <v>3</v>
      </c>
      <c r="G27" s="719">
        <v>1</v>
      </c>
      <c r="H27" s="784">
        <v>5</v>
      </c>
      <c r="I27" s="786"/>
      <c r="J27" s="837" t="s">
        <v>730</v>
      </c>
      <c r="K27" s="844">
        <v>20</v>
      </c>
      <c r="L27" s="882">
        <v>5.8</v>
      </c>
      <c r="M27" s="845">
        <v>1.4000000000000001</v>
      </c>
      <c r="N27" s="882">
        <v>0.6</v>
      </c>
      <c r="O27" s="883">
        <v>6.5</v>
      </c>
      <c r="P27" s="883">
        <v>5.3941908713692941</v>
      </c>
      <c r="Q27" s="806">
        <v>0</v>
      </c>
      <c r="R27" s="807">
        <v>0</v>
      </c>
      <c r="S27" s="807">
        <v>0</v>
      </c>
      <c r="T27" s="807">
        <v>0</v>
      </c>
      <c r="U27" s="807">
        <v>0</v>
      </c>
      <c r="V27" s="806">
        <v>0.57999999999999996</v>
      </c>
      <c r="W27" s="807">
        <v>0.14000000000000001</v>
      </c>
      <c r="X27" s="807">
        <v>0.06</v>
      </c>
      <c r="Y27" s="807">
        <v>0.65</v>
      </c>
      <c r="Z27" s="807">
        <v>0.53941908713692943</v>
      </c>
      <c r="AA27" s="886">
        <v>18.2</v>
      </c>
      <c r="AB27" s="879">
        <v>500</v>
      </c>
      <c r="AC27" s="885">
        <v>0.33</v>
      </c>
      <c r="AD27" s="794"/>
      <c r="AE27" s="827"/>
      <c r="AF27" s="827" t="s">
        <v>377</v>
      </c>
      <c r="AG27" s="833">
        <v>2644</v>
      </c>
      <c r="AH27" s="834" t="s">
        <v>750</v>
      </c>
      <c r="AI27" s="833">
        <v>350</v>
      </c>
      <c r="AJ27" s="828">
        <v>130</v>
      </c>
      <c r="AK27" s="828">
        <v>190</v>
      </c>
      <c r="AL27" s="828">
        <v>40</v>
      </c>
      <c r="AM27" s="828">
        <v>210</v>
      </c>
      <c r="AN27" s="828">
        <v>0</v>
      </c>
      <c r="AO27" s="828">
        <v>20</v>
      </c>
      <c r="AP27" s="828">
        <v>430</v>
      </c>
      <c r="AQ27" s="829">
        <v>72.3</v>
      </c>
      <c r="AR27" s="835">
        <v>70.3</v>
      </c>
      <c r="AS27" s="835">
        <v>64</v>
      </c>
      <c r="AT27" s="830">
        <v>74.900000000000006</v>
      </c>
      <c r="AU27" s="828">
        <v>469.7</v>
      </c>
      <c r="AV27" s="1003">
        <v>0.87</v>
      </c>
      <c r="AW27" s="828">
        <v>110.52758620689654</v>
      </c>
      <c r="AX27" s="828">
        <v>36.781609195402304</v>
      </c>
      <c r="AY27" s="828">
        <v>426.50919540229881</v>
      </c>
      <c r="AZ27" s="828">
        <v>573.8183908045977</v>
      </c>
      <c r="BA27" s="1016">
        <v>573.8183908045977</v>
      </c>
      <c r="BB27" s="830">
        <v>174.7277</v>
      </c>
      <c r="BC27" s="1003">
        <v>0.55198767281890615</v>
      </c>
      <c r="BD27" s="829"/>
      <c r="BE27" s="830"/>
      <c r="BF27" s="849">
        <v>0.21839080459770116</v>
      </c>
      <c r="BG27" s="849">
        <v>0.2413793103448276</v>
      </c>
      <c r="BH27" s="850">
        <v>430</v>
      </c>
      <c r="BI27" s="849">
        <v>9.7011494252873566E-3</v>
      </c>
      <c r="BJ27" s="849">
        <v>0.23282758620689656</v>
      </c>
      <c r="BK27" s="784">
        <v>0</v>
      </c>
      <c r="BL27" s="1071">
        <v>100</v>
      </c>
      <c r="BN27" s="807">
        <v>0.55000000000000004</v>
      </c>
    </row>
    <row r="28" spans="1:66" x14ac:dyDescent="0.2">
      <c r="A28" s="823" t="s">
        <v>753</v>
      </c>
      <c r="B28" s="823" t="s">
        <v>754</v>
      </c>
      <c r="C28" s="784" t="s">
        <v>700</v>
      </c>
      <c r="D28" s="786" t="s">
        <v>701</v>
      </c>
      <c r="E28" s="784">
        <v>6</v>
      </c>
      <c r="F28" s="784">
        <v>3</v>
      </c>
      <c r="G28" s="719">
        <v>1</v>
      </c>
      <c r="H28" s="784">
        <v>5</v>
      </c>
      <c r="I28" s="786"/>
      <c r="J28" s="837" t="s">
        <v>730</v>
      </c>
      <c r="K28" s="844">
        <v>20</v>
      </c>
      <c r="L28" s="883">
        <v>6.1</v>
      </c>
      <c r="M28" s="839">
        <v>1.4000000000000001</v>
      </c>
      <c r="N28" s="883">
        <v>0.61108686163247505</v>
      </c>
      <c r="O28" s="883">
        <v>6.5</v>
      </c>
      <c r="P28" s="883">
        <v>5.3941908713692941</v>
      </c>
      <c r="Q28" s="806">
        <v>0</v>
      </c>
      <c r="R28" s="807">
        <v>0</v>
      </c>
      <c r="S28" s="807">
        <v>0</v>
      </c>
      <c r="T28" s="807">
        <v>0</v>
      </c>
      <c r="U28" s="807">
        <v>0</v>
      </c>
      <c r="V28" s="806">
        <v>0.61</v>
      </c>
      <c r="W28" s="807">
        <v>0.14000000000000001</v>
      </c>
      <c r="X28" s="807">
        <v>6.1108686163247501E-2</v>
      </c>
      <c r="Y28" s="807">
        <v>0.65</v>
      </c>
      <c r="Z28" s="807">
        <v>0.53941908713692943</v>
      </c>
      <c r="AA28" s="840">
        <v>19.2</v>
      </c>
      <c r="AB28" s="879">
        <v>500</v>
      </c>
      <c r="AC28" s="885">
        <v>0.46</v>
      </c>
      <c r="AD28" s="794"/>
      <c r="AE28" s="827"/>
      <c r="AF28" s="827" t="s">
        <v>377</v>
      </c>
      <c r="AG28" s="833">
        <v>2644</v>
      </c>
      <c r="AH28" s="834" t="s">
        <v>750</v>
      </c>
      <c r="AI28" s="833">
        <v>350</v>
      </c>
      <c r="AJ28" s="828">
        <v>130</v>
      </c>
      <c r="AK28" s="828">
        <v>190</v>
      </c>
      <c r="AL28" s="828">
        <v>40</v>
      </c>
      <c r="AM28" s="828">
        <v>210</v>
      </c>
      <c r="AN28" s="828">
        <v>0</v>
      </c>
      <c r="AO28" s="828">
        <v>20</v>
      </c>
      <c r="AP28" s="828">
        <v>430</v>
      </c>
      <c r="AQ28" s="829">
        <v>72.3</v>
      </c>
      <c r="AR28" s="835">
        <v>70.3</v>
      </c>
      <c r="AS28" s="835">
        <v>64</v>
      </c>
      <c r="AT28" s="830">
        <v>74.900000000000006</v>
      </c>
      <c r="AU28" s="828">
        <v>469.7</v>
      </c>
      <c r="AV28" s="1003">
        <v>0.87</v>
      </c>
      <c r="AW28" s="828">
        <v>110.52758620689654</v>
      </c>
      <c r="AX28" s="828">
        <v>36.781609195402304</v>
      </c>
      <c r="AY28" s="828">
        <v>426.50919540229881</v>
      </c>
      <c r="AZ28" s="828">
        <v>573.8183908045977</v>
      </c>
      <c r="BA28" s="1016">
        <v>573.8183908045977</v>
      </c>
      <c r="BB28" s="830">
        <v>174.7277</v>
      </c>
      <c r="BC28" s="1003">
        <v>0.55198767281890615</v>
      </c>
      <c r="BD28" s="829"/>
      <c r="BE28" s="830"/>
      <c r="BF28" s="849">
        <v>0.21839080459770116</v>
      </c>
      <c r="BG28" s="849">
        <v>0.2413793103448276</v>
      </c>
      <c r="BH28" s="850">
        <v>430</v>
      </c>
      <c r="BI28" s="849">
        <v>9.7011494252873566E-3</v>
      </c>
      <c r="BJ28" s="849">
        <v>0.23282758620689656</v>
      </c>
      <c r="BK28" s="784">
        <v>0</v>
      </c>
      <c r="BL28" s="1071">
        <v>100</v>
      </c>
      <c r="BN28" s="807">
        <v>0.55000000000000004</v>
      </c>
    </row>
    <row r="29" spans="1:66" x14ac:dyDescent="0.2">
      <c r="A29" s="823" t="s">
        <v>755</v>
      </c>
      <c r="B29" s="823" t="s">
        <v>756</v>
      </c>
      <c r="C29" s="784" t="s">
        <v>700</v>
      </c>
      <c r="D29" s="786" t="s">
        <v>701</v>
      </c>
      <c r="E29" s="784">
        <v>6</v>
      </c>
      <c r="F29" s="784">
        <v>3</v>
      </c>
      <c r="G29" s="719">
        <v>1</v>
      </c>
      <c r="H29" s="784">
        <v>5</v>
      </c>
      <c r="I29" s="786"/>
      <c r="J29" s="837" t="s">
        <v>730</v>
      </c>
      <c r="K29" s="844">
        <v>20</v>
      </c>
      <c r="L29" s="883">
        <v>5.6000000000000005</v>
      </c>
      <c r="M29" s="839">
        <v>1.5</v>
      </c>
      <c r="N29" s="883">
        <v>0.65473592317765172</v>
      </c>
      <c r="O29" s="883">
        <v>6.5</v>
      </c>
      <c r="P29" s="883">
        <v>5.3941908713692941</v>
      </c>
      <c r="Q29" s="806">
        <v>0</v>
      </c>
      <c r="R29" s="807">
        <v>0</v>
      </c>
      <c r="S29" s="807">
        <v>0</v>
      </c>
      <c r="T29" s="807">
        <v>0</v>
      </c>
      <c r="U29" s="807">
        <v>0</v>
      </c>
      <c r="V29" s="806">
        <v>0.56000000000000005</v>
      </c>
      <c r="W29" s="807">
        <v>0.15</v>
      </c>
      <c r="X29" s="807">
        <v>6.5473592317765172E-2</v>
      </c>
      <c r="Y29" s="807">
        <v>0.65</v>
      </c>
      <c r="Z29" s="807">
        <v>0.53941908713692943</v>
      </c>
      <c r="AA29" s="840">
        <v>17.600000000000001</v>
      </c>
      <c r="AB29" s="841">
        <v>500</v>
      </c>
      <c r="AC29" s="885">
        <v>0.2</v>
      </c>
      <c r="AD29" s="794"/>
      <c r="AE29" s="827"/>
      <c r="AF29" s="827" t="s">
        <v>377</v>
      </c>
      <c r="AG29" s="833">
        <v>2745</v>
      </c>
      <c r="AH29" s="834" t="s">
        <v>757</v>
      </c>
      <c r="AI29" s="833">
        <v>350</v>
      </c>
      <c r="AJ29" s="828">
        <v>115</v>
      </c>
      <c r="AK29" s="828">
        <v>170</v>
      </c>
      <c r="AL29" s="828">
        <v>35</v>
      </c>
      <c r="AM29" s="828">
        <v>290</v>
      </c>
      <c r="AN29" s="828">
        <v>0</v>
      </c>
      <c r="AO29" s="828">
        <v>15</v>
      </c>
      <c r="AP29" s="828">
        <v>390</v>
      </c>
      <c r="AQ29" s="829">
        <v>62.7</v>
      </c>
      <c r="AR29" s="835">
        <v>58.6</v>
      </c>
      <c r="AS29" s="835">
        <v>55.9</v>
      </c>
      <c r="AT29" s="830">
        <v>66</v>
      </c>
      <c r="AU29" s="828">
        <v>427.34</v>
      </c>
      <c r="AV29" s="1003">
        <v>0.88500000000000001</v>
      </c>
      <c r="AW29" s="828">
        <v>84.30847457627118</v>
      </c>
      <c r="AX29" s="828">
        <v>27.63418079096045</v>
      </c>
      <c r="AY29" s="828">
        <v>381.46734463276835</v>
      </c>
      <c r="AZ29" s="828">
        <v>493.40999999999997</v>
      </c>
      <c r="BA29" s="1016">
        <v>493.40999999999997</v>
      </c>
      <c r="BB29" s="830">
        <v>152.83374749999999</v>
      </c>
      <c r="BC29" s="1003">
        <v>0.54596366551831099</v>
      </c>
      <c r="BD29" s="829"/>
      <c r="BE29" s="830"/>
      <c r="BF29" s="849">
        <v>0.19209039548022599</v>
      </c>
      <c r="BG29" s="849">
        <v>0.1751412429378531</v>
      </c>
      <c r="BH29" s="850">
        <v>525</v>
      </c>
      <c r="BI29" s="849">
        <v>8.3276836158192088E-3</v>
      </c>
      <c r="BJ29" s="849">
        <v>0.199864406779661</v>
      </c>
      <c r="BK29" s="784">
        <v>0</v>
      </c>
      <c r="BL29" s="1071">
        <v>100</v>
      </c>
      <c r="BN29" s="807">
        <v>0.55000000000000004</v>
      </c>
    </row>
    <row r="30" spans="1:66" x14ac:dyDescent="0.2">
      <c r="A30" s="823" t="s">
        <v>758</v>
      </c>
      <c r="B30" s="823" t="s">
        <v>759</v>
      </c>
      <c r="C30" s="784" t="s">
        <v>700</v>
      </c>
      <c r="D30" s="786" t="s">
        <v>701</v>
      </c>
      <c r="E30" s="784">
        <v>6</v>
      </c>
      <c r="F30" s="784">
        <v>3</v>
      </c>
      <c r="G30" s="719">
        <v>1</v>
      </c>
      <c r="H30" s="784">
        <v>5</v>
      </c>
      <c r="I30" s="786"/>
      <c r="J30" s="837" t="s">
        <v>730</v>
      </c>
      <c r="K30" s="844">
        <v>20</v>
      </c>
      <c r="L30" s="882">
        <v>5.8</v>
      </c>
      <c r="M30" s="845">
        <v>1.5</v>
      </c>
      <c r="N30" s="882">
        <v>0.70000000000000007</v>
      </c>
      <c r="O30" s="883">
        <v>6.5</v>
      </c>
      <c r="P30" s="883">
        <v>5.3941908713692941</v>
      </c>
      <c r="Q30" s="806">
        <v>0</v>
      </c>
      <c r="R30" s="807">
        <v>0</v>
      </c>
      <c r="S30" s="807">
        <v>0</v>
      </c>
      <c r="T30" s="807">
        <v>0</v>
      </c>
      <c r="U30" s="807">
        <v>0</v>
      </c>
      <c r="V30" s="806">
        <v>0.57999999999999996</v>
      </c>
      <c r="W30" s="807">
        <v>0.15</v>
      </c>
      <c r="X30" s="807">
        <v>7.0000000000000007E-2</v>
      </c>
      <c r="Y30" s="807">
        <v>0.65</v>
      </c>
      <c r="Z30" s="807">
        <v>0.53941908713692943</v>
      </c>
      <c r="AA30" s="886">
        <v>18.2</v>
      </c>
      <c r="AB30" s="879">
        <v>500</v>
      </c>
      <c r="AC30" s="885">
        <v>0.33</v>
      </c>
      <c r="AD30" s="794"/>
      <c r="AE30" s="827"/>
      <c r="AF30" s="827" t="s">
        <v>377</v>
      </c>
      <c r="AG30" s="833">
        <v>2745</v>
      </c>
      <c r="AH30" s="834" t="s">
        <v>757</v>
      </c>
      <c r="AI30" s="833">
        <v>350</v>
      </c>
      <c r="AJ30" s="828">
        <v>115</v>
      </c>
      <c r="AK30" s="828">
        <v>170</v>
      </c>
      <c r="AL30" s="828">
        <v>35</v>
      </c>
      <c r="AM30" s="828">
        <v>290</v>
      </c>
      <c r="AN30" s="828">
        <v>0</v>
      </c>
      <c r="AO30" s="828">
        <v>15</v>
      </c>
      <c r="AP30" s="828">
        <v>390</v>
      </c>
      <c r="AQ30" s="829">
        <v>62.7</v>
      </c>
      <c r="AR30" s="835">
        <v>58.6</v>
      </c>
      <c r="AS30" s="835">
        <v>55.9</v>
      </c>
      <c r="AT30" s="830">
        <v>66</v>
      </c>
      <c r="AU30" s="828">
        <v>427.34</v>
      </c>
      <c r="AV30" s="1003">
        <v>0.88500000000000001</v>
      </c>
      <c r="AW30" s="828">
        <v>84.30847457627118</v>
      </c>
      <c r="AX30" s="828">
        <v>27.63418079096045</v>
      </c>
      <c r="AY30" s="828">
        <v>381.46734463276835</v>
      </c>
      <c r="AZ30" s="828">
        <v>493.40999999999997</v>
      </c>
      <c r="BA30" s="1016">
        <v>493.40999999999997</v>
      </c>
      <c r="BB30" s="830">
        <v>152.83374749999999</v>
      </c>
      <c r="BC30" s="1003">
        <v>0.54596366551831099</v>
      </c>
      <c r="BD30" s="829"/>
      <c r="BE30" s="830"/>
      <c r="BF30" s="849">
        <v>0.19209039548022599</v>
      </c>
      <c r="BG30" s="849">
        <v>0.1751412429378531</v>
      </c>
      <c r="BH30" s="850">
        <v>525</v>
      </c>
      <c r="BI30" s="849">
        <v>8.3276836158192088E-3</v>
      </c>
      <c r="BJ30" s="849">
        <v>0.199864406779661</v>
      </c>
      <c r="BK30" s="784">
        <v>0</v>
      </c>
      <c r="BL30" s="1071">
        <v>100</v>
      </c>
      <c r="BN30" s="807">
        <v>0.55000000000000004</v>
      </c>
    </row>
    <row r="31" spans="1:66" x14ac:dyDescent="0.2">
      <c r="A31" s="823" t="s">
        <v>760</v>
      </c>
      <c r="B31" s="823" t="s">
        <v>761</v>
      </c>
      <c r="C31" s="784" t="s">
        <v>700</v>
      </c>
      <c r="D31" s="786" t="s">
        <v>701</v>
      </c>
      <c r="E31" s="784">
        <v>6</v>
      </c>
      <c r="F31" s="784">
        <v>3</v>
      </c>
      <c r="G31" s="719">
        <v>1</v>
      </c>
      <c r="H31" s="784">
        <v>5</v>
      </c>
      <c r="I31" s="786"/>
      <c r="J31" s="837" t="s">
        <v>730</v>
      </c>
      <c r="K31" s="844">
        <v>20</v>
      </c>
      <c r="L31" s="883">
        <v>6.1</v>
      </c>
      <c r="M31" s="839">
        <v>1.4000000000000001</v>
      </c>
      <c r="N31" s="883">
        <v>0.61108686163247505</v>
      </c>
      <c r="O31" s="883">
        <v>6.5</v>
      </c>
      <c r="P31" s="883">
        <v>5.3941908713692941</v>
      </c>
      <c r="Q31" s="806">
        <v>0</v>
      </c>
      <c r="R31" s="807">
        <v>0</v>
      </c>
      <c r="S31" s="807">
        <v>0</v>
      </c>
      <c r="T31" s="807">
        <v>0</v>
      </c>
      <c r="U31" s="807">
        <v>0</v>
      </c>
      <c r="V31" s="806">
        <v>0.61</v>
      </c>
      <c r="W31" s="807">
        <v>0.14000000000000001</v>
      </c>
      <c r="X31" s="807">
        <v>6.1108686163247501E-2</v>
      </c>
      <c r="Y31" s="807">
        <v>0.65</v>
      </c>
      <c r="Z31" s="807">
        <v>0.53941908713692943</v>
      </c>
      <c r="AA31" s="840">
        <v>19.2</v>
      </c>
      <c r="AB31" s="879">
        <v>500</v>
      </c>
      <c r="AC31" s="885">
        <v>0.46</v>
      </c>
      <c r="AD31" s="794"/>
      <c r="AE31" s="827"/>
      <c r="AF31" s="827" t="s">
        <v>377</v>
      </c>
      <c r="AG31" s="833">
        <v>2745</v>
      </c>
      <c r="AH31" s="834" t="s">
        <v>757</v>
      </c>
      <c r="AI31" s="833">
        <v>350</v>
      </c>
      <c r="AJ31" s="828">
        <v>115</v>
      </c>
      <c r="AK31" s="828">
        <v>170</v>
      </c>
      <c r="AL31" s="828">
        <v>35</v>
      </c>
      <c r="AM31" s="828">
        <v>290</v>
      </c>
      <c r="AN31" s="828">
        <v>0</v>
      </c>
      <c r="AO31" s="828">
        <v>15</v>
      </c>
      <c r="AP31" s="828">
        <v>390</v>
      </c>
      <c r="AQ31" s="829">
        <v>62.7</v>
      </c>
      <c r="AR31" s="835">
        <v>58.6</v>
      </c>
      <c r="AS31" s="835">
        <v>55.9</v>
      </c>
      <c r="AT31" s="830">
        <v>66</v>
      </c>
      <c r="AU31" s="828">
        <v>427.34</v>
      </c>
      <c r="AV31" s="1003">
        <v>0.88500000000000001</v>
      </c>
      <c r="AW31" s="828">
        <v>84.30847457627118</v>
      </c>
      <c r="AX31" s="828">
        <v>27.63418079096045</v>
      </c>
      <c r="AY31" s="828">
        <v>381.46734463276835</v>
      </c>
      <c r="AZ31" s="828">
        <v>493.40999999999997</v>
      </c>
      <c r="BA31" s="1016">
        <v>493.40999999999997</v>
      </c>
      <c r="BB31" s="830">
        <v>152.83374749999999</v>
      </c>
      <c r="BC31" s="1003">
        <v>0.54596366551831099</v>
      </c>
      <c r="BD31" s="829"/>
      <c r="BE31" s="830"/>
      <c r="BF31" s="849">
        <v>0.19209039548022599</v>
      </c>
      <c r="BG31" s="849">
        <v>0.1751412429378531</v>
      </c>
      <c r="BH31" s="850">
        <v>525</v>
      </c>
      <c r="BI31" s="849">
        <v>8.3276836158192088E-3</v>
      </c>
      <c r="BJ31" s="849">
        <v>0.199864406779661</v>
      </c>
      <c r="BK31" s="784">
        <v>0</v>
      </c>
      <c r="BL31" s="1071">
        <v>100</v>
      </c>
      <c r="BN31" s="807">
        <v>0.55000000000000004</v>
      </c>
    </row>
    <row r="32" spans="1:66" x14ac:dyDescent="0.2">
      <c r="A32" s="887" t="s">
        <v>762</v>
      </c>
      <c r="B32" s="887" t="s">
        <v>763</v>
      </c>
      <c r="C32" s="784" t="s">
        <v>700</v>
      </c>
      <c r="D32" s="786" t="s">
        <v>701</v>
      </c>
      <c r="E32" s="784">
        <v>6</v>
      </c>
      <c r="F32" s="784">
        <v>3</v>
      </c>
      <c r="G32" s="719">
        <v>1</v>
      </c>
      <c r="H32" s="784">
        <v>5</v>
      </c>
      <c r="I32" s="786"/>
      <c r="J32" s="837" t="s">
        <v>730</v>
      </c>
      <c r="K32" s="844">
        <v>20</v>
      </c>
      <c r="L32" s="882">
        <v>6.5</v>
      </c>
      <c r="M32" s="845">
        <v>1.3</v>
      </c>
      <c r="N32" s="882">
        <v>0.6</v>
      </c>
      <c r="O32" s="883">
        <v>6.5</v>
      </c>
      <c r="P32" s="883">
        <v>5.3941908713692941</v>
      </c>
      <c r="Q32" s="806">
        <v>0</v>
      </c>
      <c r="R32" s="807">
        <v>0</v>
      </c>
      <c r="S32" s="807">
        <v>0</v>
      </c>
      <c r="T32" s="807">
        <v>0</v>
      </c>
      <c r="U32" s="807">
        <v>0</v>
      </c>
      <c r="V32" s="806">
        <v>0.65</v>
      </c>
      <c r="W32" s="807">
        <v>0.13</v>
      </c>
      <c r="X32" s="807">
        <v>0.06</v>
      </c>
      <c r="Y32" s="807">
        <v>0.65</v>
      </c>
      <c r="Z32" s="807">
        <v>0.53941908713692943</v>
      </c>
      <c r="AA32" s="888">
        <v>20.46</v>
      </c>
      <c r="AB32" s="879">
        <v>450</v>
      </c>
      <c r="AC32" s="885">
        <v>0.65</v>
      </c>
      <c r="AD32" s="794"/>
      <c r="AE32" s="827"/>
      <c r="AF32" s="827" t="s">
        <v>377</v>
      </c>
      <c r="AG32" s="833">
        <v>2625</v>
      </c>
      <c r="AH32" s="834" t="s">
        <v>764</v>
      </c>
      <c r="AI32" s="833">
        <v>320</v>
      </c>
      <c r="AJ32" s="828">
        <v>110</v>
      </c>
      <c r="AK32" s="828">
        <v>175</v>
      </c>
      <c r="AL32" s="828">
        <v>46</v>
      </c>
      <c r="AM32" s="828">
        <v>265</v>
      </c>
      <c r="AN32" s="828">
        <v>0</v>
      </c>
      <c r="AO32" s="828">
        <v>20</v>
      </c>
      <c r="AP32" s="828">
        <v>404</v>
      </c>
      <c r="AQ32" s="829">
        <v>65.2</v>
      </c>
      <c r="AR32" s="835">
        <v>56.9</v>
      </c>
      <c r="AS32" s="835">
        <v>63</v>
      </c>
      <c r="AT32" s="830">
        <v>70.5</v>
      </c>
      <c r="AU32" s="828">
        <v>435.60500000000002</v>
      </c>
      <c r="AV32" s="1003">
        <v>0.89</v>
      </c>
      <c r="AW32" s="828">
        <v>89.741573033707851</v>
      </c>
      <c r="AX32" s="828">
        <v>40.702247191011232</v>
      </c>
      <c r="AY32" s="828">
        <v>386.66061797752809</v>
      </c>
      <c r="AZ32" s="828">
        <v>517.10443820224714</v>
      </c>
      <c r="BA32" s="1016">
        <v>517.10443820224714</v>
      </c>
      <c r="BB32" s="830">
        <v>147.271344</v>
      </c>
      <c r="BC32" s="1003">
        <v>0.55061286057116454</v>
      </c>
      <c r="BD32" s="829"/>
      <c r="BE32" s="830"/>
      <c r="BF32" s="849">
        <v>0.19662921348314605</v>
      </c>
      <c r="BG32" s="849">
        <v>0.17303370786516853</v>
      </c>
      <c r="BH32" s="850">
        <v>515</v>
      </c>
      <c r="BI32" s="849">
        <v>8.4022471910112344E-3</v>
      </c>
      <c r="BJ32" s="849">
        <v>0.20165393258426961</v>
      </c>
      <c r="BK32" s="784">
        <v>0</v>
      </c>
      <c r="BL32" s="1071">
        <v>100</v>
      </c>
      <c r="BN32" s="807">
        <v>0.55000000000000004</v>
      </c>
    </row>
    <row r="33" spans="1:66" x14ac:dyDescent="0.2">
      <c r="A33" s="887" t="s">
        <v>765</v>
      </c>
      <c r="B33" s="887" t="s">
        <v>766</v>
      </c>
      <c r="C33" s="784" t="s">
        <v>700</v>
      </c>
      <c r="D33" s="786" t="s">
        <v>701</v>
      </c>
      <c r="E33" s="784">
        <v>6</v>
      </c>
      <c r="F33" s="784">
        <v>3</v>
      </c>
      <c r="G33" s="719">
        <v>1</v>
      </c>
      <c r="H33" s="784">
        <v>5</v>
      </c>
      <c r="I33" s="786"/>
      <c r="J33" s="837" t="s">
        <v>730</v>
      </c>
      <c r="K33" s="844">
        <v>20</v>
      </c>
      <c r="L33" s="882">
        <v>6.5</v>
      </c>
      <c r="M33" s="845">
        <v>1.4000000000000001</v>
      </c>
      <c r="N33" s="882">
        <v>0.6</v>
      </c>
      <c r="O33" s="883">
        <v>6.5</v>
      </c>
      <c r="P33" s="883">
        <v>5.3941908713692941</v>
      </c>
      <c r="Q33" s="806">
        <v>0</v>
      </c>
      <c r="R33" s="807">
        <v>0</v>
      </c>
      <c r="S33" s="807">
        <v>0</v>
      </c>
      <c r="T33" s="807">
        <v>0</v>
      </c>
      <c r="U33" s="807">
        <v>0</v>
      </c>
      <c r="V33" s="806">
        <v>0.65</v>
      </c>
      <c r="W33" s="807">
        <v>0.14000000000000001</v>
      </c>
      <c r="X33" s="807">
        <v>0.06</v>
      </c>
      <c r="Y33" s="807">
        <v>0.65</v>
      </c>
      <c r="Z33" s="807">
        <v>0.53941908713692943</v>
      </c>
      <c r="AA33" s="888">
        <v>20.46</v>
      </c>
      <c r="AB33" s="841">
        <v>500</v>
      </c>
      <c r="AC33" s="885">
        <v>0.65</v>
      </c>
      <c r="AD33" s="794"/>
      <c r="AE33" s="827"/>
      <c r="AF33" s="827" t="s">
        <v>377</v>
      </c>
      <c r="AG33" s="833">
        <v>2725</v>
      </c>
      <c r="AH33" s="834" t="s">
        <v>767</v>
      </c>
      <c r="AI33" s="833">
        <v>350</v>
      </c>
      <c r="AJ33" s="828">
        <v>108</v>
      </c>
      <c r="AK33" s="828">
        <v>178</v>
      </c>
      <c r="AL33" s="828">
        <v>36</v>
      </c>
      <c r="AM33" s="828">
        <v>300</v>
      </c>
      <c r="AN33" s="828">
        <v>0</v>
      </c>
      <c r="AO33" s="828">
        <v>15</v>
      </c>
      <c r="AP33" s="828">
        <v>378</v>
      </c>
      <c r="AQ33" s="829">
        <v>57.9</v>
      </c>
      <c r="AR33" s="835">
        <v>48.7</v>
      </c>
      <c r="AS33" s="835">
        <v>53.7</v>
      </c>
      <c r="AT33" s="830">
        <v>66.099999999999994</v>
      </c>
      <c r="AU33" s="828">
        <v>395.95800000000003</v>
      </c>
      <c r="AV33" s="1003">
        <v>0.89200000000000002</v>
      </c>
      <c r="AW33" s="828">
        <v>80.878251121076218</v>
      </c>
      <c r="AX33" s="828">
        <v>27.090807174887889</v>
      </c>
      <c r="AY33" s="828">
        <v>350.68029147982065</v>
      </c>
      <c r="AZ33" s="828">
        <v>458.64934977578474</v>
      </c>
      <c r="BA33" s="1016">
        <v>458.64934977578474</v>
      </c>
      <c r="BB33" s="830">
        <v>143.190327</v>
      </c>
      <c r="BC33" s="1003">
        <v>0.54766337952423283</v>
      </c>
      <c r="BD33" s="829"/>
      <c r="BE33" s="830"/>
      <c r="BF33" s="849">
        <v>0.19955156950672645</v>
      </c>
      <c r="BG33" s="849">
        <v>0.1210762331838565</v>
      </c>
      <c r="BH33" s="850">
        <v>570</v>
      </c>
      <c r="BI33" s="849">
        <v>7.8430493273542595E-3</v>
      </c>
      <c r="BJ33" s="849">
        <v>0.18823318385650223</v>
      </c>
      <c r="BK33" s="784">
        <v>0</v>
      </c>
      <c r="BL33" s="1071">
        <v>100</v>
      </c>
      <c r="BN33" s="807">
        <v>0.55000000000000004</v>
      </c>
    </row>
    <row r="34" spans="1:66" x14ac:dyDescent="0.2">
      <c r="A34" s="887"/>
      <c r="B34" s="887"/>
      <c r="C34" s="784"/>
      <c r="D34" s="786"/>
      <c r="E34" s="784"/>
      <c r="F34" s="784"/>
      <c r="G34" s="719"/>
      <c r="H34" s="784"/>
      <c r="I34" s="786"/>
      <c r="J34" s="837"/>
      <c r="K34" s="844"/>
      <c r="L34" s="882"/>
      <c r="M34" s="845"/>
      <c r="N34" s="882"/>
      <c r="O34" s="883"/>
      <c r="P34" s="883"/>
      <c r="Q34" s="806"/>
      <c r="R34" s="807"/>
      <c r="S34" s="807"/>
      <c r="T34" s="807"/>
      <c r="U34" s="807"/>
      <c r="V34" s="806"/>
      <c r="W34" s="807"/>
      <c r="X34" s="807"/>
      <c r="Y34" s="807"/>
      <c r="Z34" s="807"/>
      <c r="AA34" s="888"/>
      <c r="AB34" s="841"/>
      <c r="AC34" s="885"/>
      <c r="AD34" s="794"/>
      <c r="AE34" s="827"/>
      <c r="AF34" s="827"/>
      <c r="AG34" s="833"/>
      <c r="AH34" s="834"/>
      <c r="AI34" s="833"/>
      <c r="AJ34" s="828"/>
      <c r="AK34" s="828"/>
      <c r="AL34" s="828"/>
      <c r="AM34" s="828"/>
      <c r="AN34" s="828"/>
      <c r="AO34" s="828"/>
      <c r="AP34" s="828"/>
      <c r="AQ34" s="829"/>
      <c r="AR34" s="835"/>
      <c r="AS34" s="835"/>
      <c r="AT34" s="830"/>
      <c r="AU34" s="828"/>
      <c r="AV34" s="1003"/>
      <c r="AW34" s="828"/>
      <c r="AX34" s="828"/>
      <c r="AY34" s="828"/>
      <c r="AZ34" s="828"/>
      <c r="BA34" s="1016"/>
      <c r="BB34" s="830"/>
      <c r="BC34" s="1003"/>
      <c r="BD34" s="829"/>
      <c r="BE34" s="830"/>
      <c r="BF34" s="849"/>
      <c r="BG34" s="849"/>
      <c r="BH34" s="850"/>
      <c r="BI34" s="849"/>
      <c r="BJ34" s="849"/>
      <c r="BK34" s="784"/>
      <c r="BL34" s="1071">
        <v>100</v>
      </c>
      <c r="BN34" s="807">
        <v>0.55000000000000004</v>
      </c>
    </row>
    <row r="35" spans="1:66" x14ac:dyDescent="0.2">
      <c r="A35" s="851" t="s">
        <v>768</v>
      </c>
      <c r="B35" s="851"/>
      <c r="C35" s="784" t="s">
        <v>700</v>
      </c>
      <c r="D35" s="786" t="s">
        <v>701</v>
      </c>
      <c r="E35" s="784">
        <v>7</v>
      </c>
      <c r="F35" s="784"/>
      <c r="G35" s="719">
        <v>0</v>
      </c>
      <c r="H35" s="784">
        <v>5</v>
      </c>
      <c r="I35" s="786">
        <v>1</v>
      </c>
      <c r="J35" s="852"/>
      <c r="K35" s="853"/>
      <c r="L35" s="856"/>
      <c r="M35" s="855"/>
      <c r="N35" s="855"/>
      <c r="O35" s="855"/>
      <c r="P35" s="855"/>
      <c r="Q35" s="854"/>
      <c r="R35" s="857"/>
      <c r="S35" s="857"/>
      <c r="T35" s="857"/>
      <c r="U35" s="857"/>
      <c r="V35" s="854"/>
      <c r="W35" s="857"/>
      <c r="X35" s="857"/>
      <c r="Y35" s="857"/>
      <c r="Z35" s="857"/>
      <c r="AA35" s="858"/>
      <c r="AB35" s="859" t="s">
        <v>219</v>
      </c>
      <c r="AC35" s="860"/>
      <c r="AD35" s="875"/>
      <c r="AE35" s="860"/>
      <c r="AF35" s="860"/>
      <c r="AG35" s="861"/>
      <c r="AH35" s="862"/>
      <c r="AI35" s="861"/>
      <c r="AJ35" s="863"/>
      <c r="AK35" s="863"/>
      <c r="AL35" s="863"/>
      <c r="AM35" s="863"/>
      <c r="AN35" s="863"/>
      <c r="AO35" s="863"/>
      <c r="AP35" s="863"/>
      <c r="AQ35" s="864"/>
      <c r="AR35" s="865"/>
      <c r="AS35" s="865"/>
      <c r="AT35" s="866"/>
      <c r="AU35" s="863" t="s">
        <v>708</v>
      </c>
      <c r="AV35" s="1005" t="s">
        <v>708</v>
      </c>
      <c r="AW35" s="863" t="s">
        <v>708</v>
      </c>
      <c r="AX35" s="863" t="s">
        <v>708</v>
      </c>
      <c r="AY35" s="863" t="s">
        <v>708</v>
      </c>
      <c r="AZ35" s="863" t="s">
        <v>708</v>
      </c>
      <c r="BA35" s="1018" t="s">
        <v>708</v>
      </c>
      <c r="BB35" s="866" t="s">
        <v>708</v>
      </c>
      <c r="BC35" s="1005" t="s">
        <v>708</v>
      </c>
      <c r="BD35" s="864"/>
      <c r="BE35" s="866"/>
      <c r="BF35" s="867" t="s">
        <v>708</v>
      </c>
      <c r="BG35" s="867" t="s">
        <v>708</v>
      </c>
      <c r="BH35" s="868" t="s">
        <v>708</v>
      </c>
      <c r="BI35" s="867" t="s">
        <v>708</v>
      </c>
      <c r="BJ35" s="867" t="s">
        <v>708</v>
      </c>
      <c r="BK35" s="784">
        <v>0</v>
      </c>
      <c r="BL35" s="1071">
        <v>100</v>
      </c>
      <c r="BN35" s="807">
        <v>0.55000000000000004</v>
      </c>
    </row>
    <row r="36" spans="1:66" x14ac:dyDescent="0.2">
      <c r="A36" s="887" t="s">
        <v>817</v>
      </c>
      <c r="B36" s="887" t="s">
        <v>323</v>
      </c>
      <c r="C36" s="784" t="s">
        <v>700</v>
      </c>
      <c r="D36" s="786" t="s">
        <v>701</v>
      </c>
      <c r="E36" s="784">
        <v>7</v>
      </c>
      <c r="F36" s="784">
        <v>3</v>
      </c>
      <c r="G36" s="719">
        <v>1</v>
      </c>
      <c r="H36" s="784">
        <v>5</v>
      </c>
      <c r="I36" s="786">
        <v>1</v>
      </c>
      <c r="J36" s="837" t="s">
        <v>730</v>
      </c>
      <c r="K36" s="826">
        <v>32</v>
      </c>
      <c r="L36" s="883">
        <v>4.3</v>
      </c>
      <c r="M36" s="839">
        <v>1.7000000000000002</v>
      </c>
      <c r="N36" s="839">
        <v>0.74203404626800529</v>
      </c>
      <c r="O36" s="839">
        <v>5.0999999999999996</v>
      </c>
      <c r="P36" s="839">
        <v>4.2323651452282158</v>
      </c>
      <c r="Q36" s="806">
        <v>0</v>
      </c>
      <c r="R36" s="807">
        <v>0</v>
      </c>
      <c r="S36" s="807">
        <v>0</v>
      </c>
      <c r="T36" s="807">
        <v>0</v>
      </c>
      <c r="U36" s="807">
        <v>0</v>
      </c>
      <c r="V36" s="806">
        <v>0.43</v>
      </c>
      <c r="W36" s="807">
        <v>0.17</v>
      </c>
      <c r="X36" s="807">
        <v>7.4203404626800529E-2</v>
      </c>
      <c r="Y36" s="807">
        <v>0.51</v>
      </c>
      <c r="Z36" s="807">
        <v>0.42323651452282157</v>
      </c>
      <c r="AA36" s="840"/>
      <c r="AB36" s="825">
        <v>450</v>
      </c>
      <c r="AC36" s="827"/>
      <c r="AD36" s="794"/>
      <c r="AE36" s="827"/>
      <c r="AF36" s="827" t="s">
        <v>377</v>
      </c>
      <c r="AG36" s="833">
        <v>2200</v>
      </c>
      <c r="AH36" s="834" t="s">
        <v>769</v>
      </c>
      <c r="AI36" s="833">
        <v>350</v>
      </c>
      <c r="AJ36" s="828">
        <v>38</v>
      </c>
      <c r="AK36" s="828">
        <v>82</v>
      </c>
      <c r="AL36" s="828">
        <v>33</v>
      </c>
      <c r="AM36" s="828">
        <v>195</v>
      </c>
      <c r="AN36" s="828">
        <v>295</v>
      </c>
      <c r="AO36" s="828">
        <v>10</v>
      </c>
      <c r="AP36" s="828">
        <v>652</v>
      </c>
      <c r="AQ36" s="829">
        <v>56.7</v>
      </c>
      <c r="AR36" s="835">
        <v>63</v>
      </c>
      <c r="AS36" s="835">
        <v>77.5</v>
      </c>
      <c r="AT36" s="830">
        <v>78.599999999999994</v>
      </c>
      <c r="AU36" s="828">
        <v>635.322</v>
      </c>
      <c r="AV36" s="1003">
        <v>0.96199999999999997</v>
      </c>
      <c r="AW36" s="828">
        <v>33.831392931392941</v>
      </c>
      <c r="AX36" s="828">
        <v>33.231548856548855</v>
      </c>
      <c r="AY36" s="828">
        <v>521.73012474012478</v>
      </c>
      <c r="AZ36" s="828">
        <v>588.79306652806656</v>
      </c>
      <c r="BA36" s="1016">
        <v>588.79306652806656</v>
      </c>
      <c r="BB36" s="830">
        <v>198.24662549999999</v>
      </c>
      <c r="BC36" s="1003">
        <v>0.52222558663426033</v>
      </c>
      <c r="BD36" s="829"/>
      <c r="BE36" s="830"/>
      <c r="BF36" s="849">
        <v>8.5239085239085244E-2</v>
      </c>
      <c r="BG36" s="849">
        <v>0.37629937629937632</v>
      </c>
      <c r="BH36" s="850">
        <v>485</v>
      </c>
      <c r="BI36" s="849">
        <v>8.3908523908523911E-3</v>
      </c>
      <c r="BJ36" s="849">
        <v>0.2013804573804574</v>
      </c>
      <c r="BK36" s="784">
        <v>0</v>
      </c>
      <c r="BL36" s="1071">
        <v>100</v>
      </c>
      <c r="BN36" s="807">
        <v>0.55000000000000004</v>
      </c>
    </row>
    <row r="37" spans="1:66" x14ac:dyDescent="0.2">
      <c r="A37" s="887" t="s">
        <v>770</v>
      </c>
      <c r="B37" s="887" t="s">
        <v>771</v>
      </c>
      <c r="C37" s="784" t="s">
        <v>700</v>
      </c>
      <c r="D37" s="786" t="s">
        <v>701</v>
      </c>
      <c r="E37" s="784">
        <v>7</v>
      </c>
      <c r="F37" s="784">
        <v>3</v>
      </c>
      <c r="G37" s="719">
        <v>2</v>
      </c>
      <c r="H37" s="784">
        <v>5</v>
      </c>
      <c r="I37" s="786">
        <v>1</v>
      </c>
      <c r="J37" s="837" t="s">
        <v>772</v>
      </c>
      <c r="K37" s="844">
        <v>60</v>
      </c>
      <c r="L37" s="882">
        <v>10.1</v>
      </c>
      <c r="M37" s="845">
        <v>4.0999999999999996</v>
      </c>
      <c r="N37" s="882">
        <v>1.7896115233522478</v>
      </c>
      <c r="O37" s="883">
        <v>3.5999999999999996</v>
      </c>
      <c r="P37" s="839">
        <v>2.9875518672199171</v>
      </c>
      <c r="Q37" s="806">
        <v>0</v>
      </c>
      <c r="R37" s="807">
        <v>0</v>
      </c>
      <c r="S37" s="807">
        <v>0</v>
      </c>
      <c r="T37" s="807">
        <v>0</v>
      </c>
      <c r="U37" s="807">
        <v>0</v>
      </c>
      <c r="V37" s="806">
        <v>1.01</v>
      </c>
      <c r="W37" s="807">
        <v>0.41</v>
      </c>
      <c r="X37" s="807">
        <v>0.17896115233522478</v>
      </c>
      <c r="Y37" s="807">
        <v>0.36</v>
      </c>
      <c r="Z37" s="807">
        <v>0.29875518672199169</v>
      </c>
      <c r="AA37" s="840">
        <v>10.5</v>
      </c>
      <c r="AB37" s="841">
        <v>120</v>
      </c>
      <c r="AC37" s="827"/>
      <c r="AD37" s="794"/>
      <c r="AE37" s="827"/>
      <c r="AF37" s="827" t="s">
        <v>219</v>
      </c>
      <c r="AG37" s="833">
        <v>5225</v>
      </c>
      <c r="AH37" s="834" t="s">
        <v>773</v>
      </c>
      <c r="AI37" s="833">
        <v>600</v>
      </c>
      <c r="AJ37" s="828">
        <v>16</v>
      </c>
      <c r="AK37" s="828">
        <v>100</v>
      </c>
      <c r="AL37" s="828">
        <v>43</v>
      </c>
      <c r="AM37" s="828">
        <v>53</v>
      </c>
      <c r="AN37" s="828">
        <v>623</v>
      </c>
      <c r="AO37" s="828">
        <v>8</v>
      </c>
      <c r="AP37" s="828">
        <v>788</v>
      </c>
      <c r="AQ37" s="829">
        <v>65</v>
      </c>
      <c r="AR37" s="835">
        <v>45.7</v>
      </c>
      <c r="AS37" s="835">
        <v>79.8</v>
      </c>
      <c r="AT37" s="830">
        <v>88</v>
      </c>
      <c r="AU37" s="828">
        <v>717.66100000000006</v>
      </c>
      <c r="AV37" s="1003">
        <v>0.98399999999999999</v>
      </c>
      <c r="AW37" s="828">
        <v>46.239837398373986</v>
      </c>
      <c r="AX37" s="828">
        <v>43.58993902439024</v>
      </c>
      <c r="AY37" s="828">
        <v>576.17092479674807</v>
      </c>
      <c r="AZ37" s="828">
        <v>666.00070121951228</v>
      </c>
      <c r="BA37" s="1016">
        <v>666.00070121951228</v>
      </c>
      <c r="BB37" s="830">
        <v>393.20681400000001</v>
      </c>
      <c r="BC37" s="1003">
        <v>0.52636116575538283</v>
      </c>
      <c r="BD37" s="829"/>
      <c r="BE37" s="830"/>
      <c r="BF37" s="849">
        <v>0.1016260162601626</v>
      </c>
      <c r="BG37" s="849">
        <v>0.64126016260162599</v>
      </c>
      <c r="BH37" s="850">
        <v>210</v>
      </c>
      <c r="BI37" s="849">
        <v>1.1930894308943089E-2</v>
      </c>
      <c r="BJ37" s="849">
        <v>0.28634146341463412</v>
      </c>
      <c r="BK37" s="784">
        <v>0</v>
      </c>
      <c r="BL37" s="1071">
        <v>100</v>
      </c>
      <c r="BN37" s="807">
        <v>0.55000000000000004</v>
      </c>
    </row>
    <row r="38" spans="1:66" x14ac:dyDescent="0.2">
      <c r="A38" s="887" t="s">
        <v>774</v>
      </c>
      <c r="B38" s="887" t="s">
        <v>775</v>
      </c>
      <c r="C38" s="784" t="s">
        <v>700</v>
      </c>
      <c r="D38" s="786" t="s">
        <v>701</v>
      </c>
      <c r="E38" s="784">
        <v>7</v>
      </c>
      <c r="F38" s="784">
        <v>3</v>
      </c>
      <c r="G38" s="719">
        <v>1</v>
      </c>
      <c r="H38" s="784">
        <v>5</v>
      </c>
      <c r="I38" s="786">
        <v>1</v>
      </c>
      <c r="J38" s="837" t="s">
        <v>776</v>
      </c>
      <c r="K38" s="826">
        <v>35</v>
      </c>
      <c r="L38" s="883">
        <v>5.6000000000000005</v>
      </c>
      <c r="M38" s="839">
        <v>2.3000000000000003</v>
      </c>
      <c r="N38" s="839">
        <v>1.003928415539066</v>
      </c>
      <c r="O38" s="839">
        <v>4.6999999999999993</v>
      </c>
      <c r="P38" s="839">
        <v>3.9004149377593356</v>
      </c>
      <c r="Q38" s="806">
        <v>0</v>
      </c>
      <c r="R38" s="807">
        <v>0</v>
      </c>
      <c r="S38" s="807">
        <v>0</v>
      </c>
      <c r="T38" s="807">
        <v>0</v>
      </c>
      <c r="U38" s="807">
        <v>0</v>
      </c>
      <c r="V38" s="806">
        <v>0.56000000000000005</v>
      </c>
      <c r="W38" s="807">
        <v>0.23</v>
      </c>
      <c r="X38" s="807">
        <v>0.1003928415539066</v>
      </c>
      <c r="Y38" s="807">
        <v>0.47</v>
      </c>
      <c r="Z38" s="807">
        <v>0.39004149377593356</v>
      </c>
      <c r="AA38" s="884">
        <v>10</v>
      </c>
      <c r="AB38" s="841">
        <v>350</v>
      </c>
      <c r="AC38" s="826"/>
      <c r="AD38" s="794"/>
      <c r="AE38" s="827"/>
      <c r="AF38" s="827" t="s">
        <v>377</v>
      </c>
      <c r="AG38" s="833">
        <v>2185</v>
      </c>
      <c r="AH38" s="834" t="s">
        <v>774</v>
      </c>
      <c r="AI38" s="833">
        <v>400</v>
      </c>
      <c r="AJ38" s="828">
        <v>52</v>
      </c>
      <c r="AK38" s="828">
        <v>95</v>
      </c>
      <c r="AL38" s="828">
        <v>20</v>
      </c>
      <c r="AM38" s="828">
        <v>250</v>
      </c>
      <c r="AN38" s="828">
        <v>200</v>
      </c>
      <c r="AO38" s="828">
        <v>10</v>
      </c>
      <c r="AP38" s="828">
        <v>583</v>
      </c>
      <c r="AQ38" s="829">
        <v>61.9</v>
      </c>
      <c r="AR38" s="835">
        <v>48.3</v>
      </c>
      <c r="AS38" s="835">
        <v>64.5</v>
      </c>
      <c r="AT38" s="830">
        <v>70.599999999999994</v>
      </c>
      <c r="AU38" s="828">
        <v>532.34799999999996</v>
      </c>
      <c r="AV38" s="1003">
        <v>0.94799999999999995</v>
      </c>
      <c r="AW38" s="828">
        <v>43.421413502109708</v>
      </c>
      <c r="AX38" s="828">
        <v>17.009493670886076</v>
      </c>
      <c r="AY38" s="828">
        <v>443.62333333333328</v>
      </c>
      <c r="AZ38" s="828">
        <v>504.05424050632905</v>
      </c>
      <c r="BA38" s="1016">
        <v>504.05424050632905</v>
      </c>
      <c r="BB38" s="830">
        <v>191.13736799999998</v>
      </c>
      <c r="BC38" s="1003">
        <v>0.52416447421207557</v>
      </c>
      <c r="BD38" s="829"/>
      <c r="BE38" s="830"/>
      <c r="BF38" s="849">
        <v>0.10021097046413503</v>
      </c>
      <c r="BG38" s="849">
        <v>0.33544303797468356</v>
      </c>
      <c r="BH38" s="850">
        <v>515</v>
      </c>
      <c r="BI38" s="849">
        <v>8.2299578059071739E-3</v>
      </c>
      <c r="BJ38" s="849">
        <v>0.19751898734177217</v>
      </c>
      <c r="BK38" s="784">
        <v>0</v>
      </c>
      <c r="BL38" s="1071">
        <v>100</v>
      </c>
      <c r="BN38" s="807">
        <v>0.55000000000000004</v>
      </c>
    </row>
    <row r="39" spans="1:66" x14ac:dyDescent="0.2">
      <c r="A39" s="887" t="s">
        <v>777</v>
      </c>
      <c r="B39" s="887" t="s">
        <v>778</v>
      </c>
      <c r="C39" s="784" t="s">
        <v>700</v>
      </c>
      <c r="D39" s="786" t="s">
        <v>701</v>
      </c>
      <c r="E39" s="784">
        <v>7</v>
      </c>
      <c r="F39" s="784">
        <v>3</v>
      </c>
      <c r="G39" s="719">
        <v>1</v>
      </c>
      <c r="H39" s="784">
        <v>5</v>
      </c>
      <c r="I39" s="786">
        <v>1</v>
      </c>
      <c r="J39" s="837" t="s">
        <v>776</v>
      </c>
      <c r="K39" s="826">
        <v>35</v>
      </c>
      <c r="L39" s="883">
        <v>5.6000000000000005</v>
      </c>
      <c r="M39" s="839">
        <v>2.3000000000000003</v>
      </c>
      <c r="N39" s="839">
        <v>1.003928415539066</v>
      </c>
      <c r="O39" s="839">
        <v>4.6999999999999993</v>
      </c>
      <c r="P39" s="839">
        <v>3.9004149377593356</v>
      </c>
      <c r="Q39" s="806">
        <v>0</v>
      </c>
      <c r="R39" s="807">
        <v>0</v>
      </c>
      <c r="S39" s="807">
        <v>0</v>
      </c>
      <c r="T39" s="807">
        <v>0</v>
      </c>
      <c r="U39" s="807">
        <v>0</v>
      </c>
      <c r="V39" s="806">
        <v>0.56000000000000005</v>
      </c>
      <c r="W39" s="807">
        <v>0.23</v>
      </c>
      <c r="X39" s="807">
        <v>0.1003928415539066</v>
      </c>
      <c r="Y39" s="807">
        <v>0.47</v>
      </c>
      <c r="Z39" s="807">
        <v>0.39004149377593356</v>
      </c>
      <c r="AA39" s="884">
        <v>10</v>
      </c>
      <c r="AB39" s="841">
        <v>350</v>
      </c>
      <c r="AC39" s="826"/>
      <c r="AD39" s="794"/>
      <c r="AE39" s="827"/>
      <c r="AF39" s="827" t="s">
        <v>377</v>
      </c>
      <c r="AG39" s="833">
        <v>2135</v>
      </c>
      <c r="AH39" s="834" t="s">
        <v>777</v>
      </c>
      <c r="AI39" s="833">
        <v>400</v>
      </c>
      <c r="AJ39" s="828">
        <v>58</v>
      </c>
      <c r="AK39" s="828">
        <v>98</v>
      </c>
      <c r="AL39" s="828">
        <v>23</v>
      </c>
      <c r="AM39" s="828">
        <v>245</v>
      </c>
      <c r="AN39" s="828">
        <v>200</v>
      </c>
      <c r="AO39" s="828">
        <v>20</v>
      </c>
      <c r="AP39" s="828">
        <v>576</v>
      </c>
      <c r="AQ39" s="829">
        <v>56.8</v>
      </c>
      <c r="AR39" s="835">
        <v>51.9</v>
      </c>
      <c r="AS39" s="835">
        <v>61.2</v>
      </c>
      <c r="AT39" s="830">
        <v>72.099999999999994</v>
      </c>
      <c r="AU39" s="828">
        <v>542.45100000000002</v>
      </c>
      <c r="AV39" s="1003">
        <v>0.94199999999999995</v>
      </c>
      <c r="AW39" s="828">
        <v>41.363906581740977</v>
      </c>
      <c r="AX39" s="828">
        <v>18.678343949044585</v>
      </c>
      <c r="AY39" s="828">
        <v>454.92175159235671</v>
      </c>
      <c r="AZ39" s="828">
        <v>514.96400212314234</v>
      </c>
      <c r="BA39" s="1016">
        <v>514.96400212314234</v>
      </c>
      <c r="BB39" s="830">
        <v>194.03843599999999</v>
      </c>
      <c r="BC39" s="1003">
        <v>0.52339682432814494</v>
      </c>
      <c r="BD39" s="829"/>
      <c r="BE39" s="830"/>
      <c r="BF39" s="849">
        <v>0.1040339702760085</v>
      </c>
      <c r="BG39" s="849">
        <v>0.35138004246284504</v>
      </c>
      <c r="BH39" s="850">
        <v>490</v>
      </c>
      <c r="BI39" s="849">
        <v>8.5053078556263269E-3</v>
      </c>
      <c r="BJ39" s="849">
        <v>0.20412738853503185</v>
      </c>
      <c r="BK39" s="784">
        <v>0</v>
      </c>
      <c r="BL39" s="1071">
        <v>100</v>
      </c>
      <c r="BN39" s="807">
        <v>0.55000000000000004</v>
      </c>
    </row>
    <row r="40" spans="1:66" x14ac:dyDescent="0.2">
      <c r="A40" s="887" t="s">
        <v>779</v>
      </c>
      <c r="B40" s="887" t="s">
        <v>780</v>
      </c>
      <c r="C40" s="784" t="s">
        <v>700</v>
      </c>
      <c r="D40" s="786" t="s">
        <v>701</v>
      </c>
      <c r="E40" s="784">
        <v>7</v>
      </c>
      <c r="F40" s="784">
        <v>3</v>
      </c>
      <c r="G40" s="719">
        <v>1</v>
      </c>
      <c r="H40" s="784">
        <v>5</v>
      </c>
      <c r="I40" s="786">
        <v>1</v>
      </c>
      <c r="J40" s="837" t="s">
        <v>776</v>
      </c>
      <c r="K40" s="826">
        <v>35</v>
      </c>
      <c r="L40" s="883">
        <v>5.6000000000000005</v>
      </c>
      <c r="M40" s="839">
        <v>2.3000000000000003</v>
      </c>
      <c r="N40" s="839">
        <v>1.003928415539066</v>
      </c>
      <c r="O40" s="839">
        <v>4.6999999999999993</v>
      </c>
      <c r="P40" s="839">
        <v>3.9004149377593356</v>
      </c>
      <c r="Q40" s="806">
        <v>0</v>
      </c>
      <c r="R40" s="807">
        <v>0</v>
      </c>
      <c r="S40" s="807">
        <v>0</v>
      </c>
      <c r="T40" s="807">
        <v>0</v>
      </c>
      <c r="U40" s="807">
        <v>0</v>
      </c>
      <c r="V40" s="806">
        <v>0.56000000000000005</v>
      </c>
      <c r="W40" s="807">
        <v>0.23</v>
      </c>
      <c r="X40" s="807">
        <v>0.1003928415539066</v>
      </c>
      <c r="Y40" s="807">
        <v>0.47</v>
      </c>
      <c r="Z40" s="807">
        <v>0.39004149377593356</v>
      </c>
      <c r="AA40" s="884">
        <v>10</v>
      </c>
      <c r="AB40" s="841">
        <v>350</v>
      </c>
      <c r="AC40" s="826"/>
      <c r="AD40" s="794"/>
      <c r="AE40" s="827"/>
      <c r="AF40" s="827" t="s">
        <v>377</v>
      </c>
      <c r="AG40" s="833">
        <v>2175</v>
      </c>
      <c r="AH40" s="834" t="s">
        <v>781</v>
      </c>
      <c r="AI40" s="833">
        <v>400</v>
      </c>
      <c r="AJ40" s="828">
        <v>50</v>
      </c>
      <c r="AK40" s="828">
        <v>90</v>
      </c>
      <c r="AL40" s="828">
        <v>23</v>
      </c>
      <c r="AM40" s="828">
        <v>255</v>
      </c>
      <c r="AN40" s="828">
        <v>100</v>
      </c>
      <c r="AO40" s="828">
        <v>2</v>
      </c>
      <c r="AP40" s="828">
        <v>582</v>
      </c>
      <c r="AQ40" s="829">
        <v>56.5</v>
      </c>
      <c r="AR40" s="835">
        <v>50.4</v>
      </c>
      <c r="AS40" s="835">
        <v>63.3</v>
      </c>
      <c r="AT40" s="830">
        <v>70.8</v>
      </c>
      <c r="AU40" s="828">
        <v>540.57600000000002</v>
      </c>
      <c r="AV40" s="1003">
        <v>0.95</v>
      </c>
      <c r="AW40" s="828">
        <v>37.468421052631577</v>
      </c>
      <c r="AX40" s="828">
        <v>19.156578947368423</v>
      </c>
      <c r="AY40" s="828">
        <v>449.53162105263164</v>
      </c>
      <c r="AZ40" s="828">
        <v>506.15662105263164</v>
      </c>
      <c r="BA40" s="1016">
        <v>506.15662105263164</v>
      </c>
      <c r="BB40" s="830">
        <v>192.339516</v>
      </c>
      <c r="BC40" s="1003">
        <v>0.52235780815836097</v>
      </c>
      <c r="BD40" s="829"/>
      <c r="BE40" s="830"/>
      <c r="BF40" s="849">
        <v>9.4736842105263161E-2</v>
      </c>
      <c r="BG40" s="849">
        <v>0.29684210526315791</v>
      </c>
      <c r="BH40" s="850">
        <v>555</v>
      </c>
      <c r="BI40" s="849">
        <v>7.6463157894736842E-3</v>
      </c>
      <c r="BJ40" s="849">
        <v>0.18351157894736841</v>
      </c>
      <c r="BK40" s="784">
        <v>0</v>
      </c>
      <c r="BL40" s="1071">
        <v>100</v>
      </c>
      <c r="BN40" s="807">
        <v>0.55000000000000004</v>
      </c>
    </row>
    <row r="41" spans="1:66" x14ac:dyDescent="0.2">
      <c r="A41" s="887" t="s">
        <v>782</v>
      </c>
      <c r="B41" s="887" t="s">
        <v>783</v>
      </c>
      <c r="C41" s="784" t="s">
        <v>700</v>
      </c>
      <c r="D41" s="786" t="s">
        <v>701</v>
      </c>
      <c r="E41" s="784">
        <v>7</v>
      </c>
      <c r="F41" s="784">
        <v>3</v>
      </c>
      <c r="G41" s="719">
        <v>1</v>
      </c>
      <c r="H41" s="784">
        <v>5</v>
      </c>
      <c r="I41" s="786">
        <v>1</v>
      </c>
      <c r="J41" s="837" t="s">
        <v>776</v>
      </c>
      <c r="K41" s="826">
        <v>35</v>
      </c>
      <c r="L41" s="883">
        <v>5.6000000000000005</v>
      </c>
      <c r="M41" s="839">
        <v>2.3000000000000003</v>
      </c>
      <c r="N41" s="839">
        <v>1.003928415539066</v>
      </c>
      <c r="O41" s="839">
        <v>4.6999999999999993</v>
      </c>
      <c r="P41" s="839">
        <v>3.9004149377593356</v>
      </c>
      <c r="Q41" s="806">
        <v>0</v>
      </c>
      <c r="R41" s="807">
        <v>0</v>
      </c>
      <c r="S41" s="807">
        <v>0</v>
      </c>
      <c r="T41" s="807">
        <v>0</v>
      </c>
      <c r="U41" s="807">
        <v>0</v>
      </c>
      <c r="V41" s="806">
        <v>0.56000000000000005</v>
      </c>
      <c r="W41" s="807">
        <v>0.23</v>
      </c>
      <c r="X41" s="807">
        <v>0.1003928415539066</v>
      </c>
      <c r="Y41" s="807">
        <v>0.47</v>
      </c>
      <c r="Z41" s="807">
        <v>0.39004149377593356</v>
      </c>
      <c r="AA41" s="884">
        <v>10</v>
      </c>
      <c r="AB41" s="841">
        <v>350</v>
      </c>
      <c r="AC41" s="826"/>
      <c r="AD41" s="794"/>
      <c r="AE41" s="827"/>
      <c r="AF41" s="827" t="s">
        <v>377</v>
      </c>
      <c r="AG41" s="833">
        <v>2175</v>
      </c>
      <c r="AH41" s="834" t="s">
        <v>781</v>
      </c>
      <c r="AI41" s="833">
        <v>400</v>
      </c>
      <c r="AJ41" s="828">
        <v>50</v>
      </c>
      <c r="AK41" s="828">
        <v>90</v>
      </c>
      <c r="AL41" s="828">
        <v>23</v>
      </c>
      <c r="AM41" s="828">
        <v>255</v>
      </c>
      <c r="AN41" s="828">
        <v>100</v>
      </c>
      <c r="AO41" s="828">
        <v>2</v>
      </c>
      <c r="AP41" s="828">
        <v>582</v>
      </c>
      <c r="AQ41" s="829">
        <v>56.5</v>
      </c>
      <c r="AR41" s="835">
        <v>50.4</v>
      </c>
      <c r="AS41" s="835">
        <v>63.3</v>
      </c>
      <c r="AT41" s="830">
        <v>70.8</v>
      </c>
      <c r="AU41" s="828">
        <v>540.57600000000002</v>
      </c>
      <c r="AV41" s="1003">
        <v>0.95</v>
      </c>
      <c r="AW41" s="828">
        <v>37.468421052631577</v>
      </c>
      <c r="AX41" s="828">
        <v>19.156578947368423</v>
      </c>
      <c r="AY41" s="828">
        <v>449.53162105263164</v>
      </c>
      <c r="AZ41" s="828">
        <v>506.15662105263164</v>
      </c>
      <c r="BA41" s="1016">
        <v>506.15662105263164</v>
      </c>
      <c r="BB41" s="830">
        <v>192.339516</v>
      </c>
      <c r="BC41" s="1003">
        <v>0.52235780815836097</v>
      </c>
      <c r="BD41" s="829"/>
      <c r="BE41" s="830"/>
      <c r="BF41" s="849">
        <v>9.4736842105263161E-2</v>
      </c>
      <c r="BG41" s="849">
        <v>0.29684210526315791</v>
      </c>
      <c r="BH41" s="850">
        <v>555</v>
      </c>
      <c r="BI41" s="849">
        <v>7.6463157894736842E-3</v>
      </c>
      <c r="BJ41" s="849">
        <v>0.18351157894736841</v>
      </c>
      <c r="BK41" s="784">
        <v>0</v>
      </c>
      <c r="BL41" s="1071">
        <v>100</v>
      </c>
      <c r="BN41" s="807">
        <v>0.55000000000000004</v>
      </c>
    </row>
    <row r="42" spans="1:66" s="365" customFormat="1" x14ac:dyDescent="0.2">
      <c r="A42" s="823" t="s">
        <v>784</v>
      </c>
      <c r="B42" s="823" t="s">
        <v>785</v>
      </c>
      <c r="C42" s="719" t="s">
        <v>700</v>
      </c>
      <c r="D42" s="786" t="s">
        <v>701</v>
      </c>
      <c r="E42" s="719">
        <v>7</v>
      </c>
      <c r="F42" s="719">
        <v>3</v>
      </c>
      <c r="G42" s="719">
        <v>1</v>
      </c>
      <c r="H42" s="719">
        <v>5</v>
      </c>
      <c r="I42" s="786">
        <v>2</v>
      </c>
      <c r="J42" s="837" t="s">
        <v>776</v>
      </c>
      <c r="K42" s="826">
        <v>35</v>
      </c>
      <c r="L42" s="883">
        <v>5.6000000000000005</v>
      </c>
      <c r="M42" s="839">
        <v>2.3000000000000003</v>
      </c>
      <c r="N42" s="839">
        <v>1.003928415539066</v>
      </c>
      <c r="O42" s="839">
        <v>4.6999999999999993</v>
      </c>
      <c r="P42" s="839">
        <v>3.9004149377593356</v>
      </c>
      <c r="Q42" s="806">
        <v>0</v>
      </c>
      <c r="R42" s="807">
        <v>0</v>
      </c>
      <c r="S42" s="807">
        <v>0</v>
      </c>
      <c r="T42" s="807">
        <v>0</v>
      </c>
      <c r="U42" s="807">
        <v>0</v>
      </c>
      <c r="V42" s="806">
        <v>0.56000000000000005</v>
      </c>
      <c r="W42" s="807">
        <v>0.23</v>
      </c>
      <c r="X42" s="807">
        <v>0.1003928415539066</v>
      </c>
      <c r="Y42" s="807">
        <v>0.47</v>
      </c>
      <c r="Z42" s="807">
        <v>0.39004149377593356</v>
      </c>
      <c r="AA42" s="884">
        <v>10</v>
      </c>
      <c r="AB42" s="841">
        <v>350</v>
      </c>
      <c r="AC42" s="826"/>
      <c r="AD42" s="827"/>
      <c r="AE42" s="827"/>
      <c r="AF42" s="827" t="s">
        <v>377</v>
      </c>
      <c r="AG42" s="833">
        <v>2175</v>
      </c>
      <c r="AH42" s="834" t="s">
        <v>781</v>
      </c>
      <c r="AI42" s="833">
        <v>400</v>
      </c>
      <c r="AJ42" s="828">
        <v>50</v>
      </c>
      <c r="AK42" s="828">
        <v>90</v>
      </c>
      <c r="AL42" s="828">
        <v>23</v>
      </c>
      <c r="AM42" s="828">
        <v>255</v>
      </c>
      <c r="AN42" s="828">
        <v>100</v>
      </c>
      <c r="AO42" s="828">
        <v>2</v>
      </c>
      <c r="AP42" s="828">
        <v>582</v>
      </c>
      <c r="AQ42" s="829">
        <v>56.5</v>
      </c>
      <c r="AR42" s="835">
        <v>50.4</v>
      </c>
      <c r="AS42" s="835">
        <v>63.3</v>
      </c>
      <c r="AT42" s="830">
        <v>70.8</v>
      </c>
      <c r="AU42" s="828">
        <v>540.57600000000002</v>
      </c>
      <c r="AV42" s="1003">
        <v>0.95</v>
      </c>
      <c r="AW42" s="828">
        <v>37.468421052631577</v>
      </c>
      <c r="AX42" s="828">
        <v>19.156578947368423</v>
      </c>
      <c r="AY42" s="828">
        <v>449.53162105263164</v>
      </c>
      <c r="AZ42" s="828">
        <v>506.15662105263164</v>
      </c>
      <c r="BA42" s="1016">
        <v>506.15662105263164</v>
      </c>
      <c r="BB42" s="830">
        <v>192.339516</v>
      </c>
      <c r="BC42" s="1003">
        <v>0.52235780815836097</v>
      </c>
      <c r="BD42" s="829"/>
      <c r="BE42" s="830"/>
      <c r="BF42" s="1325">
        <v>9.4736842105263161E-2</v>
      </c>
      <c r="BG42" s="1325">
        <v>0.29684210526315791</v>
      </c>
      <c r="BH42" s="1326">
        <v>555</v>
      </c>
      <c r="BI42" s="1325">
        <v>7.6463157894736842E-3</v>
      </c>
      <c r="BJ42" s="1325">
        <v>0.18351157894736841</v>
      </c>
      <c r="BK42" s="719">
        <v>0</v>
      </c>
      <c r="BL42" s="1071">
        <v>100</v>
      </c>
      <c r="BN42" s="807">
        <v>0.55000000000000004</v>
      </c>
    </row>
    <row r="43" spans="1:66" x14ac:dyDescent="0.2">
      <c r="A43" s="887"/>
      <c r="B43" s="887"/>
      <c r="C43" s="784"/>
      <c r="D43" s="786"/>
      <c r="E43" s="784"/>
      <c r="F43" s="784"/>
      <c r="G43" s="719"/>
      <c r="H43" s="784"/>
      <c r="I43" s="786"/>
      <c r="J43" s="837"/>
      <c r="K43" s="826"/>
      <c r="L43" s="883"/>
      <c r="M43" s="839"/>
      <c r="N43" s="883"/>
      <c r="O43" s="883"/>
      <c r="P43" s="883"/>
      <c r="Q43" s="806"/>
      <c r="R43" s="807"/>
      <c r="S43" s="807"/>
      <c r="T43" s="807"/>
      <c r="U43" s="807"/>
      <c r="V43" s="806"/>
      <c r="W43" s="807"/>
      <c r="X43" s="807"/>
      <c r="Y43" s="807"/>
      <c r="Z43" s="807"/>
      <c r="AA43" s="884"/>
      <c r="AB43" s="841"/>
      <c r="AC43" s="899"/>
      <c r="AD43" s="794"/>
      <c r="AE43" s="827"/>
      <c r="AF43" s="827"/>
      <c r="AG43" s="833"/>
      <c r="AH43" s="834"/>
      <c r="AI43" s="833"/>
      <c r="AJ43" s="828"/>
      <c r="AK43" s="828"/>
      <c r="AL43" s="828"/>
      <c r="AM43" s="828"/>
      <c r="AN43" s="828"/>
      <c r="AO43" s="828"/>
      <c r="AP43" s="828"/>
      <c r="AQ43" s="829"/>
      <c r="AR43" s="835"/>
      <c r="AS43" s="835"/>
      <c r="AT43" s="830"/>
      <c r="AU43" s="828"/>
      <c r="AV43" s="1003"/>
      <c r="AW43" s="828"/>
      <c r="AX43" s="828"/>
      <c r="AY43" s="828"/>
      <c r="AZ43" s="828"/>
      <c r="BA43" s="1016"/>
      <c r="BB43" s="830"/>
      <c r="BC43" s="1003"/>
      <c r="BD43" s="829"/>
      <c r="BE43" s="830"/>
      <c r="BF43" s="849"/>
      <c r="BG43" s="849"/>
      <c r="BH43" s="850"/>
      <c r="BI43" s="849"/>
      <c r="BJ43" s="849"/>
      <c r="BK43" s="784"/>
      <c r="BL43" s="1071">
        <v>100</v>
      </c>
      <c r="BN43" s="807">
        <v>0.55000000000000004</v>
      </c>
    </row>
    <row r="44" spans="1:66" x14ac:dyDescent="0.2">
      <c r="A44" s="851" t="s">
        <v>788</v>
      </c>
      <c r="B44" s="851"/>
      <c r="C44" s="784" t="s">
        <v>700</v>
      </c>
      <c r="D44" s="786" t="s">
        <v>701</v>
      </c>
      <c r="E44" s="784">
        <v>8</v>
      </c>
      <c r="F44" s="784"/>
      <c r="G44" s="719">
        <v>0</v>
      </c>
      <c r="H44" s="784">
        <v>7</v>
      </c>
      <c r="I44" s="786">
        <v>1</v>
      </c>
      <c r="J44" s="852"/>
      <c r="K44" s="853"/>
      <c r="L44" s="856"/>
      <c r="M44" s="855"/>
      <c r="N44" s="856"/>
      <c r="O44" s="856"/>
      <c r="P44" s="856"/>
      <c r="Q44" s="854"/>
      <c r="R44" s="857"/>
      <c r="S44" s="857"/>
      <c r="T44" s="857"/>
      <c r="U44" s="857"/>
      <c r="V44" s="854"/>
      <c r="W44" s="857"/>
      <c r="X44" s="857"/>
      <c r="Y44" s="857"/>
      <c r="Z44" s="857"/>
      <c r="AA44" s="858"/>
      <c r="AB44" s="859"/>
      <c r="AC44" s="889"/>
      <c r="AD44" s="875"/>
      <c r="AE44" s="860"/>
      <c r="AF44" s="860"/>
      <c r="AG44" s="861"/>
      <c r="AH44" s="862"/>
      <c r="AI44" s="861"/>
      <c r="AJ44" s="863"/>
      <c r="AK44" s="863"/>
      <c r="AL44" s="863"/>
      <c r="AM44" s="863"/>
      <c r="AN44" s="863"/>
      <c r="AO44" s="863"/>
      <c r="AP44" s="863"/>
      <c r="AQ44" s="864"/>
      <c r="AR44" s="865"/>
      <c r="AS44" s="865"/>
      <c r="AT44" s="866"/>
      <c r="AU44" s="863" t="s">
        <v>708</v>
      </c>
      <c r="AV44" s="1005" t="s">
        <v>708</v>
      </c>
      <c r="AW44" s="863" t="s">
        <v>708</v>
      </c>
      <c r="AX44" s="863" t="s">
        <v>708</v>
      </c>
      <c r="AY44" s="863" t="s">
        <v>708</v>
      </c>
      <c r="AZ44" s="863" t="s">
        <v>708</v>
      </c>
      <c r="BA44" s="1018" t="s">
        <v>708</v>
      </c>
      <c r="BB44" s="866" t="s">
        <v>708</v>
      </c>
      <c r="BC44" s="1005" t="s">
        <v>708</v>
      </c>
      <c r="BD44" s="864"/>
      <c r="BE44" s="866"/>
      <c r="BF44" s="867" t="s">
        <v>708</v>
      </c>
      <c r="BG44" s="867" t="s">
        <v>708</v>
      </c>
      <c r="BH44" s="868" t="s">
        <v>708</v>
      </c>
      <c r="BI44" s="867" t="s">
        <v>708</v>
      </c>
      <c r="BJ44" s="867" t="s">
        <v>708</v>
      </c>
      <c r="BK44" s="784">
        <v>0</v>
      </c>
      <c r="BL44" s="1071">
        <v>100</v>
      </c>
      <c r="BN44" s="807">
        <v>0.55000000000000004</v>
      </c>
    </row>
    <row r="45" spans="1:66" s="365" customFormat="1" x14ac:dyDescent="0.2">
      <c r="A45" s="1327" t="s">
        <v>1126</v>
      </c>
      <c r="B45" s="800" t="s">
        <v>789</v>
      </c>
      <c r="C45" s="719" t="s">
        <v>700</v>
      </c>
      <c r="D45" s="786" t="s">
        <v>701</v>
      </c>
      <c r="E45" s="719">
        <v>8</v>
      </c>
      <c r="F45" s="719">
        <v>3</v>
      </c>
      <c r="G45" s="719">
        <v>1</v>
      </c>
      <c r="H45" s="719">
        <v>7</v>
      </c>
      <c r="I45" s="786">
        <v>2</v>
      </c>
      <c r="J45" s="1328" t="s">
        <v>730</v>
      </c>
      <c r="K45" s="811">
        <v>28</v>
      </c>
      <c r="L45" s="881">
        <v>2.8000000000000003</v>
      </c>
      <c r="M45" s="805">
        <v>1.4000000000000001</v>
      </c>
      <c r="N45" s="881">
        <v>0.61108686163247505</v>
      </c>
      <c r="O45" s="881">
        <v>6.4</v>
      </c>
      <c r="P45" s="881">
        <v>5.3112033195020745</v>
      </c>
      <c r="Q45" s="824">
        <v>0</v>
      </c>
      <c r="R45" s="808">
        <v>0</v>
      </c>
      <c r="S45" s="808">
        <v>0</v>
      </c>
      <c r="T45" s="808">
        <v>0</v>
      </c>
      <c r="U45" s="808">
        <v>0</v>
      </c>
      <c r="V45" s="824">
        <v>0.28000000000000003</v>
      </c>
      <c r="W45" s="808">
        <v>0.14000000000000001</v>
      </c>
      <c r="X45" s="808">
        <v>6.1108686163247501E-2</v>
      </c>
      <c r="Y45" s="808">
        <v>0.64</v>
      </c>
      <c r="Z45" s="808">
        <v>0.53112033195020747</v>
      </c>
      <c r="AA45" s="847"/>
      <c r="AB45" s="1329">
        <v>300</v>
      </c>
      <c r="AC45" s="1330"/>
      <c r="AD45" s="800"/>
      <c r="AE45" s="813"/>
      <c r="AF45" s="813" t="s">
        <v>377</v>
      </c>
      <c r="AG45" s="891" t="s">
        <v>729</v>
      </c>
      <c r="AH45" s="842" t="s">
        <v>790</v>
      </c>
      <c r="AI45" s="892">
        <v>910</v>
      </c>
      <c r="AJ45" s="848">
        <v>88.8</v>
      </c>
      <c r="AK45" s="848">
        <v>58.9</v>
      </c>
      <c r="AL45" s="848">
        <v>12</v>
      </c>
      <c r="AM45" s="848">
        <v>366.4</v>
      </c>
      <c r="AN45" s="848">
        <v>5.6</v>
      </c>
      <c r="AO45" s="848">
        <v>77.5</v>
      </c>
      <c r="AP45" s="848">
        <v>474</v>
      </c>
      <c r="AQ45" s="829"/>
      <c r="AR45" s="835"/>
      <c r="AS45" s="835"/>
      <c r="AT45" s="830"/>
      <c r="AU45" s="828">
        <v>0</v>
      </c>
      <c r="AV45" s="1003">
        <v>0.9113</v>
      </c>
      <c r="AW45" s="828">
        <v>0</v>
      </c>
      <c r="AX45" s="828">
        <v>0</v>
      </c>
      <c r="AY45" s="828">
        <v>0</v>
      </c>
      <c r="AZ45" s="828">
        <v>0</v>
      </c>
      <c r="BA45" s="1017">
        <v>456.3</v>
      </c>
      <c r="BB45" s="830">
        <v>0</v>
      </c>
      <c r="BC45" s="1004">
        <v>0.54210000000000003</v>
      </c>
      <c r="BD45" s="829"/>
      <c r="BE45" s="830"/>
      <c r="BF45" s="1325">
        <v>6.4632941951058925E-2</v>
      </c>
      <c r="BG45" s="1325">
        <v>0.28563590475145406</v>
      </c>
      <c r="BH45" s="1331">
        <v>580</v>
      </c>
      <c r="BI45" s="1325">
        <v>6.849555579940745E-3</v>
      </c>
      <c r="BJ45" s="1325">
        <v>0.16438933391857788</v>
      </c>
      <c r="BK45" s="719">
        <v>0</v>
      </c>
      <c r="BL45" s="1071">
        <v>100</v>
      </c>
      <c r="BN45" s="807">
        <v>0.55000000000000004</v>
      </c>
    </row>
    <row r="46" spans="1:66" x14ac:dyDescent="0.2">
      <c r="A46" s="893" t="s">
        <v>791</v>
      </c>
      <c r="B46" s="893" t="s">
        <v>792</v>
      </c>
      <c r="C46" s="784" t="s">
        <v>700</v>
      </c>
      <c r="D46" s="786" t="s">
        <v>701</v>
      </c>
      <c r="E46" s="784">
        <v>8</v>
      </c>
      <c r="F46" s="784">
        <v>3</v>
      </c>
      <c r="G46" s="719">
        <v>1</v>
      </c>
      <c r="H46" s="784">
        <v>7</v>
      </c>
      <c r="I46" s="786">
        <v>1</v>
      </c>
      <c r="J46" s="837" t="s">
        <v>776</v>
      </c>
      <c r="K46" s="826">
        <v>28</v>
      </c>
      <c r="L46" s="883">
        <v>4.0999999999999996</v>
      </c>
      <c r="M46" s="839">
        <v>1.7999999999999998</v>
      </c>
      <c r="N46" s="839">
        <v>0.78568310781318207</v>
      </c>
      <c r="O46" s="839">
        <v>4.8</v>
      </c>
      <c r="P46" s="839">
        <v>3.9834024896265556</v>
      </c>
      <c r="Q46" s="806">
        <v>0</v>
      </c>
      <c r="R46" s="807">
        <v>0</v>
      </c>
      <c r="S46" s="807">
        <v>0</v>
      </c>
      <c r="T46" s="807">
        <v>0</v>
      </c>
      <c r="U46" s="807">
        <v>0</v>
      </c>
      <c r="V46" s="806">
        <v>0.41</v>
      </c>
      <c r="W46" s="807">
        <v>0.18</v>
      </c>
      <c r="X46" s="807">
        <v>7.8568310781318207E-2</v>
      </c>
      <c r="Y46" s="807">
        <v>0.48</v>
      </c>
      <c r="Z46" s="807">
        <v>0.39834024896265557</v>
      </c>
      <c r="AA46" s="840" t="s">
        <v>219</v>
      </c>
      <c r="AB46" s="841">
        <v>450</v>
      </c>
      <c r="AC46" s="826"/>
      <c r="AD46" s="887"/>
      <c r="AE46" s="827"/>
      <c r="AF46" s="827" t="s">
        <v>377</v>
      </c>
      <c r="AG46" s="833">
        <v>2885</v>
      </c>
      <c r="AH46" s="834" t="s">
        <v>793</v>
      </c>
      <c r="AI46" s="833">
        <v>350</v>
      </c>
      <c r="AJ46" s="828">
        <v>70</v>
      </c>
      <c r="AK46" s="828">
        <v>100</v>
      </c>
      <c r="AL46" s="828">
        <v>32</v>
      </c>
      <c r="AM46" s="828">
        <v>310</v>
      </c>
      <c r="AN46" s="828">
        <v>0</v>
      </c>
      <c r="AO46" s="828">
        <v>10</v>
      </c>
      <c r="AP46" s="828">
        <v>488</v>
      </c>
      <c r="AQ46" s="829">
        <v>64.2</v>
      </c>
      <c r="AR46" s="835">
        <v>65</v>
      </c>
      <c r="AS46" s="835">
        <v>66.3</v>
      </c>
      <c r="AT46" s="830">
        <v>60.3</v>
      </c>
      <c r="AU46" s="828">
        <v>495.76399999999995</v>
      </c>
      <c r="AV46" s="1003">
        <v>0.93</v>
      </c>
      <c r="AW46" s="828">
        <v>48.322580645161288</v>
      </c>
      <c r="AX46" s="828">
        <v>28.516129032258061</v>
      </c>
      <c r="AY46" s="828">
        <v>421.13286021505371</v>
      </c>
      <c r="AZ46" s="828">
        <v>497.97156989247304</v>
      </c>
      <c r="BA46" s="1016">
        <v>497.97156989247304</v>
      </c>
      <c r="BB46" s="830">
        <v>162.08974599999996</v>
      </c>
      <c r="BC46" s="1003">
        <v>0.53068577823547214</v>
      </c>
      <c r="BD46" s="829"/>
      <c r="BE46" s="830"/>
      <c r="BF46" s="849">
        <v>0.1075268817204301</v>
      </c>
      <c r="BG46" s="849">
        <v>0.24516129032258063</v>
      </c>
      <c r="BH46" s="850">
        <v>570</v>
      </c>
      <c r="BI46" s="849">
        <v>7.3075268817204293E-3</v>
      </c>
      <c r="BJ46" s="849">
        <v>0.17538064516129032</v>
      </c>
      <c r="BK46" s="784">
        <v>0</v>
      </c>
      <c r="BL46" s="1071">
        <v>100</v>
      </c>
      <c r="BN46" s="807">
        <v>0.55000000000000004</v>
      </c>
    </row>
    <row r="47" spans="1:66" ht="13.5" thickBot="1" x14ac:dyDescent="0.25">
      <c r="A47" s="893"/>
      <c r="B47" s="893"/>
      <c r="C47" s="784"/>
      <c r="D47" s="786"/>
      <c r="E47" s="784"/>
      <c r="F47" s="784"/>
      <c r="G47" s="719"/>
      <c r="H47" s="784"/>
      <c r="I47" s="786"/>
      <c r="J47" s="837"/>
      <c r="K47" s="826"/>
      <c r="L47" s="883"/>
      <c r="M47" s="839"/>
      <c r="N47" s="883"/>
      <c r="O47" s="883"/>
      <c r="P47" s="883"/>
      <c r="Q47" s="806"/>
      <c r="R47" s="807"/>
      <c r="S47" s="807"/>
      <c r="T47" s="807"/>
      <c r="U47" s="807"/>
      <c r="V47" s="806"/>
      <c r="W47" s="807"/>
      <c r="X47" s="807"/>
      <c r="Y47" s="807"/>
      <c r="Z47" s="807"/>
      <c r="AA47" s="840"/>
      <c r="AB47" s="841"/>
      <c r="AC47" s="826"/>
      <c r="AD47" s="887"/>
      <c r="AE47" s="827"/>
      <c r="AF47" s="827"/>
      <c r="AG47" s="833"/>
      <c r="AH47" s="834"/>
      <c r="AI47" s="833"/>
      <c r="AJ47" s="828"/>
      <c r="AK47" s="828"/>
      <c r="AL47" s="828"/>
      <c r="AM47" s="828"/>
      <c r="AN47" s="828"/>
      <c r="AO47" s="828"/>
      <c r="AP47" s="828"/>
      <c r="AQ47" s="966"/>
      <c r="AR47" s="835"/>
      <c r="AS47" s="835"/>
      <c r="AT47" s="965"/>
      <c r="AU47" s="828"/>
      <c r="AV47" s="1003"/>
      <c r="AW47" s="828"/>
      <c r="AX47" s="828"/>
      <c r="AY47" s="828"/>
      <c r="AZ47" s="828"/>
      <c r="BA47" s="1020"/>
      <c r="BB47" s="965"/>
      <c r="BC47" s="1003"/>
      <c r="BD47" s="966"/>
      <c r="BE47" s="830"/>
      <c r="BF47" s="849"/>
      <c r="BG47" s="849"/>
      <c r="BH47" s="850"/>
      <c r="BI47" s="849"/>
      <c r="BJ47" s="849"/>
      <c r="BK47" s="784"/>
      <c r="BL47" s="1071">
        <v>100</v>
      </c>
      <c r="BN47" s="807">
        <v>0.55000000000000004</v>
      </c>
    </row>
    <row r="48" spans="1:66" ht="13.5" thickBot="1" x14ac:dyDescent="0.25">
      <c r="A48" s="901" t="s">
        <v>794</v>
      </c>
      <c r="B48" s="901"/>
      <c r="C48" s="902" t="s">
        <v>700</v>
      </c>
      <c r="D48" s="903"/>
      <c r="E48" s="902"/>
      <c r="F48" s="903"/>
      <c r="G48" s="902"/>
      <c r="H48" s="903"/>
      <c r="I48" s="903"/>
      <c r="J48" s="904"/>
      <c r="K48" s="905"/>
      <c r="L48" s="906"/>
      <c r="M48" s="907"/>
      <c r="N48" s="908"/>
      <c r="O48" s="908"/>
      <c r="P48" s="908"/>
      <c r="Q48" s="909"/>
      <c r="R48" s="910"/>
      <c r="S48" s="910"/>
      <c r="T48" s="910"/>
      <c r="U48" s="910"/>
      <c r="V48" s="909"/>
      <c r="W48" s="910"/>
      <c r="X48" s="910"/>
      <c r="Y48" s="910"/>
      <c r="Z48" s="910"/>
      <c r="AA48" s="911"/>
      <c r="AB48" s="912"/>
      <c r="AC48" s="913"/>
      <c r="AD48" s="914"/>
      <c r="AE48" s="913"/>
      <c r="AF48" s="913"/>
      <c r="AG48" s="895"/>
      <c r="AH48" s="915"/>
      <c r="AI48" s="895"/>
      <c r="AJ48" s="827"/>
      <c r="AK48" s="827"/>
      <c r="AL48" s="827"/>
      <c r="AM48" s="827"/>
      <c r="AN48" s="827"/>
      <c r="AO48" s="827"/>
      <c r="AP48" s="827"/>
      <c r="AQ48" s="894"/>
      <c r="AR48" s="841"/>
      <c r="AS48" s="841"/>
      <c r="AT48" s="916"/>
      <c r="AU48" s="827"/>
      <c r="AV48" s="1003"/>
      <c r="AW48" s="827"/>
      <c r="AX48" s="827"/>
      <c r="AY48" s="827"/>
      <c r="AZ48" s="827"/>
      <c r="BA48" s="1019"/>
      <c r="BB48" s="916"/>
      <c r="BC48" s="1003"/>
      <c r="BD48" s="894"/>
      <c r="BE48" s="898"/>
      <c r="BF48" s="849"/>
      <c r="BG48" s="849"/>
      <c r="BH48" s="850"/>
      <c r="BI48" s="849"/>
      <c r="BJ48" s="849"/>
      <c r="BK48" s="902">
        <v>0</v>
      </c>
      <c r="BL48" s="1071">
        <v>100</v>
      </c>
      <c r="BN48" s="807">
        <v>0.55000000000000004</v>
      </c>
    </row>
    <row r="49" spans="1:66" x14ac:dyDescent="0.2">
      <c r="A49" s="891" t="s">
        <v>795</v>
      </c>
      <c r="B49" s="891" t="s">
        <v>796</v>
      </c>
      <c r="C49" s="902" t="s">
        <v>700</v>
      </c>
      <c r="D49" s="902" t="s">
        <v>797</v>
      </c>
      <c r="E49" s="902">
        <v>6</v>
      </c>
      <c r="F49" s="902">
        <v>3</v>
      </c>
      <c r="G49" s="902">
        <v>1</v>
      </c>
      <c r="H49" s="902">
        <v>5</v>
      </c>
      <c r="I49" s="903"/>
      <c r="J49" s="837" t="s">
        <v>730</v>
      </c>
      <c r="K49" s="917">
        <v>20</v>
      </c>
      <c r="L49" s="883">
        <v>5.3000000000000007</v>
      </c>
      <c r="M49" s="839">
        <v>1.6</v>
      </c>
      <c r="N49" s="883">
        <v>0.69838498472282851</v>
      </c>
      <c r="O49" s="883">
        <v>7.1999999999999993</v>
      </c>
      <c r="P49" s="883">
        <v>5.9751037344398341</v>
      </c>
      <c r="Q49" s="806">
        <v>0</v>
      </c>
      <c r="R49" s="807">
        <v>0</v>
      </c>
      <c r="S49" s="807">
        <v>0</v>
      </c>
      <c r="T49" s="807">
        <v>0</v>
      </c>
      <c r="U49" s="807">
        <v>0</v>
      </c>
      <c r="V49" s="806">
        <v>0.53</v>
      </c>
      <c r="W49" s="807">
        <v>0.16</v>
      </c>
      <c r="X49" s="807">
        <v>6.9838498472282851E-2</v>
      </c>
      <c r="Y49" s="807">
        <v>0.72</v>
      </c>
      <c r="Z49" s="807">
        <v>0.59751037344398339</v>
      </c>
      <c r="AA49" s="918"/>
      <c r="AB49" s="919">
        <v>250</v>
      </c>
      <c r="AC49" s="920"/>
      <c r="AD49" s="921"/>
      <c r="AE49" s="827"/>
      <c r="AF49" s="920" t="s">
        <v>377</v>
      </c>
      <c r="AG49" s="833">
        <v>2815</v>
      </c>
      <c r="AH49" s="834" t="s">
        <v>745</v>
      </c>
      <c r="AI49" s="833">
        <v>350</v>
      </c>
      <c r="AJ49" s="922">
        <v>135</v>
      </c>
      <c r="AK49" s="922">
        <v>162</v>
      </c>
      <c r="AL49" s="922">
        <v>50</v>
      </c>
      <c r="AM49" s="922">
        <v>250</v>
      </c>
      <c r="AN49" s="922">
        <v>0</v>
      </c>
      <c r="AO49" s="922">
        <v>35</v>
      </c>
      <c r="AP49" s="922">
        <v>403</v>
      </c>
      <c r="AQ49" s="923">
        <v>70.5</v>
      </c>
      <c r="AR49" s="924">
        <v>77</v>
      </c>
      <c r="AS49" s="924">
        <v>67.8</v>
      </c>
      <c r="AT49" s="925">
        <v>75.599999999999994</v>
      </c>
      <c r="AU49" s="816">
        <v>497.16800000000001</v>
      </c>
      <c r="AV49" s="1006">
        <v>0.86499999999999999</v>
      </c>
      <c r="AW49" s="816">
        <v>92.424277456647388</v>
      </c>
      <c r="AX49" s="816">
        <v>48.98843930635838</v>
      </c>
      <c r="AY49" s="816">
        <v>454.06094797687859</v>
      </c>
      <c r="AZ49" s="816">
        <v>595.47366473988438</v>
      </c>
      <c r="BA49" s="1015">
        <v>595.47366473988438</v>
      </c>
      <c r="BB49" s="819">
        <v>180.279652</v>
      </c>
      <c r="BC49" s="1024">
        <v>0.54740262922184912</v>
      </c>
      <c r="BD49" s="817"/>
      <c r="BE49" s="819"/>
      <c r="BF49" s="849">
        <v>0.18728323699421967</v>
      </c>
      <c r="BG49" s="849">
        <v>0.17109826589595378</v>
      </c>
      <c r="BH49" s="850">
        <v>505</v>
      </c>
      <c r="BI49" s="849">
        <v>8.1734104046242775E-3</v>
      </c>
      <c r="BJ49" s="849">
        <v>0.19616184971098266</v>
      </c>
      <c r="BK49" s="902">
        <v>0</v>
      </c>
      <c r="BL49" s="1071">
        <v>100</v>
      </c>
      <c r="BN49" s="807">
        <v>0.55000000000000004</v>
      </c>
    </row>
    <row r="50" spans="1:66" x14ac:dyDescent="0.2">
      <c r="A50" s="887" t="s">
        <v>798</v>
      </c>
      <c r="B50" s="887" t="s">
        <v>799</v>
      </c>
      <c r="C50" s="902" t="s">
        <v>700</v>
      </c>
      <c r="D50" s="902" t="s">
        <v>797</v>
      </c>
      <c r="E50" s="902">
        <v>6</v>
      </c>
      <c r="F50" s="902">
        <v>3</v>
      </c>
      <c r="G50" s="902">
        <v>1</v>
      </c>
      <c r="H50" s="902">
        <v>5</v>
      </c>
      <c r="I50" s="903"/>
      <c r="J50" s="837" t="s">
        <v>730</v>
      </c>
      <c r="K50" s="917">
        <v>20</v>
      </c>
      <c r="L50" s="882">
        <v>5.8</v>
      </c>
      <c r="M50" s="845">
        <v>1.4000000000000001</v>
      </c>
      <c r="N50" s="882">
        <v>0.6</v>
      </c>
      <c r="O50" s="883">
        <v>6.5</v>
      </c>
      <c r="P50" s="883">
        <v>5.3941908713692941</v>
      </c>
      <c r="Q50" s="806">
        <v>0</v>
      </c>
      <c r="R50" s="807">
        <v>0</v>
      </c>
      <c r="S50" s="807">
        <v>0</v>
      </c>
      <c r="T50" s="807">
        <v>0</v>
      </c>
      <c r="U50" s="807">
        <v>0</v>
      </c>
      <c r="V50" s="806">
        <v>0.57999999999999996</v>
      </c>
      <c r="W50" s="807">
        <v>0.14000000000000001</v>
      </c>
      <c r="X50" s="807">
        <v>0.06</v>
      </c>
      <c r="Y50" s="807">
        <v>0.65</v>
      </c>
      <c r="Z50" s="807">
        <v>0.53941908713692943</v>
      </c>
      <c r="AA50" s="828"/>
      <c r="AB50" s="919">
        <v>250</v>
      </c>
      <c r="AC50" s="885">
        <v>0.33</v>
      </c>
      <c r="AD50" s="926"/>
      <c r="AE50" s="827"/>
      <c r="AF50" s="920" t="s">
        <v>377</v>
      </c>
      <c r="AG50" s="833">
        <v>2644</v>
      </c>
      <c r="AH50" s="834" t="s">
        <v>750</v>
      </c>
      <c r="AI50" s="833">
        <v>350</v>
      </c>
      <c r="AJ50" s="828">
        <v>130</v>
      </c>
      <c r="AK50" s="828">
        <v>190</v>
      </c>
      <c r="AL50" s="828">
        <v>40</v>
      </c>
      <c r="AM50" s="828">
        <v>210</v>
      </c>
      <c r="AN50" s="828">
        <v>0</v>
      </c>
      <c r="AO50" s="828">
        <v>20</v>
      </c>
      <c r="AP50" s="828">
        <v>430</v>
      </c>
      <c r="AQ50" s="829">
        <v>72.3</v>
      </c>
      <c r="AR50" s="835">
        <v>70.3</v>
      </c>
      <c r="AS50" s="835">
        <v>64</v>
      </c>
      <c r="AT50" s="830">
        <v>74.900000000000006</v>
      </c>
      <c r="AU50" s="828">
        <v>469.7</v>
      </c>
      <c r="AV50" s="1007">
        <v>0.87</v>
      </c>
      <c r="AW50" s="828">
        <v>110.52758620689654</v>
      </c>
      <c r="AX50" s="828">
        <v>36.781609195402304</v>
      </c>
      <c r="AY50" s="828">
        <v>426.50919540229881</v>
      </c>
      <c r="AZ50" s="828">
        <v>573.8183908045977</v>
      </c>
      <c r="BA50" s="1016">
        <v>573.8183908045977</v>
      </c>
      <c r="BB50" s="830">
        <v>174.7277</v>
      </c>
      <c r="BC50" s="1025">
        <v>0.55198767281890615</v>
      </c>
      <c r="BD50" s="829"/>
      <c r="BE50" s="830"/>
      <c r="BF50" s="849">
        <v>0.21839080459770116</v>
      </c>
      <c r="BG50" s="849">
        <v>0.2413793103448276</v>
      </c>
      <c r="BH50" s="850">
        <v>430</v>
      </c>
      <c r="BI50" s="849">
        <v>9.7011494252873566E-3</v>
      </c>
      <c r="BJ50" s="849">
        <v>0.23282758620689656</v>
      </c>
      <c r="BK50" s="902">
        <v>0</v>
      </c>
      <c r="BL50" s="1071">
        <v>100</v>
      </c>
      <c r="BN50" s="807">
        <v>0.55000000000000004</v>
      </c>
    </row>
    <row r="51" spans="1:66" x14ac:dyDescent="0.2">
      <c r="A51" s="891" t="s">
        <v>800</v>
      </c>
      <c r="B51" s="891" t="s">
        <v>801</v>
      </c>
      <c r="C51" s="902" t="s">
        <v>700</v>
      </c>
      <c r="D51" s="902" t="s">
        <v>797</v>
      </c>
      <c r="E51" s="902">
        <v>6</v>
      </c>
      <c r="F51" s="902">
        <v>3</v>
      </c>
      <c r="G51" s="902">
        <v>1</v>
      </c>
      <c r="H51" s="902">
        <v>5</v>
      </c>
      <c r="I51" s="903"/>
      <c r="J51" s="837" t="s">
        <v>730</v>
      </c>
      <c r="K51" s="831">
        <v>20</v>
      </c>
      <c r="L51" s="927">
        <v>4.6000000000000005</v>
      </c>
      <c r="M51" s="919">
        <v>1.4000000000000001</v>
      </c>
      <c r="N51" s="883">
        <v>0.61108686163247505</v>
      </c>
      <c r="O51" s="928">
        <v>5</v>
      </c>
      <c r="P51" s="883">
        <v>4.1493775933609953</v>
      </c>
      <c r="Q51" s="806">
        <v>0</v>
      </c>
      <c r="R51" s="807">
        <v>0</v>
      </c>
      <c r="S51" s="807">
        <v>0</v>
      </c>
      <c r="T51" s="807">
        <v>0</v>
      </c>
      <c r="U51" s="807">
        <v>0</v>
      </c>
      <c r="V51" s="806">
        <v>0.46</v>
      </c>
      <c r="W51" s="807">
        <v>0.14000000000000001</v>
      </c>
      <c r="X51" s="807">
        <v>6.1108686163247501E-2</v>
      </c>
      <c r="Y51" s="807">
        <v>0.5</v>
      </c>
      <c r="Z51" s="807">
        <v>0.41493775933609955</v>
      </c>
      <c r="AA51" s="929"/>
      <c r="AB51" s="919">
        <v>250</v>
      </c>
      <c r="AC51" s="930">
        <v>0.38</v>
      </c>
      <c r="AD51" s="926"/>
      <c r="AE51" s="827"/>
      <c r="AF51" s="920" t="s">
        <v>377</v>
      </c>
      <c r="AG51" s="833">
        <v>1665</v>
      </c>
      <c r="AH51" s="834" t="s">
        <v>800</v>
      </c>
      <c r="AI51" s="833">
        <v>125</v>
      </c>
      <c r="AJ51" s="931">
        <v>136</v>
      </c>
      <c r="AK51" s="931">
        <v>200</v>
      </c>
      <c r="AL51" s="931">
        <v>43</v>
      </c>
      <c r="AM51" s="931">
        <v>237</v>
      </c>
      <c r="AN51" s="931">
        <v>0</v>
      </c>
      <c r="AO51" s="931">
        <v>80</v>
      </c>
      <c r="AP51" s="931">
        <v>384</v>
      </c>
      <c r="AQ51" s="932">
        <v>78.599999999999994</v>
      </c>
      <c r="AR51" s="933">
        <v>52.9</v>
      </c>
      <c r="AS51" s="933">
        <v>59</v>
      </c>
      <c r="AT51" s="934">
        <v>75.900000000000006</v>
      </c>
      <c r="AU51" s="828">
        <v>416.82900000000001</v>
      </c>
      <c r="AV51" s="1007">
        <v>0.86399999999999999</v>
      </c>
      <c r="AW51" s="828">
        <v>127.36111111111113</v>
      </c>
      <c r="AX51" s="828">
        <v>36.704282407407405</v>
      </c>
      <c r="AY51" s="828">
        <v>381.1283680555556</v>
      </c>
      <c r="AZ51" s="828">
        <v>545.19376157407419</v>
      </c>
      <c r="BA51" s="1016">
        <v>545.19376157407419</v>
      </c>
      <c r="BB51" s="830">
        <v>58.880926250000009</v>
      </c>
      <c r="BC51" s="1025">
        <v>0.56117568930057371</v>
      </c>
      <c r="BD51" s="829"/>
      <c r="BE51" s="830"/>
      <c r="BF51" s="849">
        <v>0.23148148148148148</v>
      </c>
      <c r="BG51" s="849">
        <v>0.15740740740740741</v>
      </c>
      <c r="BH51" s="850">
        <v>485</v>
      </c>
      <c r="BI51" s="849">
        <v>8.9814814814814809E-3</v>
      </c>
      <c r="BJ51" s="849">
        <v>0.21555555555555556</v>
      </c>
      <c r="BK51" s="902">
        <v>0</v>
      </c>
      <c r="BL51" s="1071">
        <v>100</v>
      </c>
      <c r="BN51" s="807">
        <v>0.55000000000000004</v>
      </c>
    </row>
    <row r="52" spans="1:66" x14ac:dyDescent="0.2">
      <c r="A52" s="891" t="s">
        <v>802</v>
      </c>
      <c r="B52" s="891" t="s">
        <v>803</v>
      </c>
      <c r="C52" s="902" t="s">
        <v>700</v>
      </c>
      <c r="D52" s="902" t="s">
        <v>797</v>
      </c>
      <c r="E52" s="902">
        <v>7</v>
      </c>
      <c r="F52" s="902">
        <v>3</v>
      </c>
      <c r="G52" s="902">
        <v>1</v>
      </c>
      <c r="H52" s="902">
        <v>5</v>
      </c>
      <c r="I52" s="903"/>
      <c r="J52" s="837" t="s">
        <v>730</v>
      </c>
      <c r="K52" s="831">
        <v>20</v>
      </c>
      <c r="L52" s="927">
        <v>4.6000000000000005</v>
      </c>
      <c r="M52" s="919">
        <v>1.4000000000000001</v>
      </c>
      <c r="N52" s="883">
        <v>0.61108686163247505</v>
      </c>
      <c r="O52" s="928">
        <v>5</v>
      </c>
      <c r="P52" s="883">
        <v>4.1493775933609953</v>
      </c>
      <c r="Q52" s="806">
        <v>0</v>
      </c>
      <c r="R52" s="807">
        <v>0</v>
      </c>
      <c r="S52" s="807">
        <v>0</v>
      </c>
      <c r="T52" s="807">
        <v>0</v>
      </c>
      <c r="U52" s="807">
        <v>0</v>
      </c>
      <c r="V52" s="806">
        <v>0.46</v>
      </c>
      <c r="W52" s="807">
        <v>0.14000000000000001</v>
      </c>
      <c r="X52" s="807">
        <v>6.1108686163247501E-2</v>
      </c>
      <c r="Y52" s="807">
        <v>0.5</v>
      </c>
      <c r="Z52" s="807">
        <v>0.41493775933609955</v>
      </c>
      <c r="AA52" s="918"/>
      <c r="AB52" s="919">
        <v>200</v>
      </c>
      <c r="AC52" s="930"/>
      <c r="AD52" s="926"/>
      <c r="AE52" s="827"/>
      <c r="AF52" s="920" t="s">
        <v>377</v>
      </c>
      <c r="AG52" s="833">
        <v>2425</v>
      </c>
      <c r="AH52" s="834" t="s">
        <v>787</v>
      </c>
      <c r="AI52" s="833">
        <v>160</v>
      </c>
      <c r="AJ52" s="931">
        <v>180</v>
      </c>
      <c r="AK52" s="931">
        <v>185</v>
      </c>
      <c r="AL52" s="931">
        <v>52</v>
      </c>
      <c r="AM52" s="931">
        <v>180</v>
      </c>
      <c r="AN52" s="931">
        <v>0</v>
      </c>
      <c r="AO52" s="931">
        <v>5</v>
      </c>
      <c r="AP52" s="931">
        <v>403</v>
      </c>
      <c r="AQ52" s="932">
        <v>85</v>
      </c>
      <c r="AR52" s="933">
        <v>83.7</v>
      </c>
      <c r="AS52" s="933">
        <v>61.4</v>
      </c>
      <c r="AT52" s="934">
        <v>85.8</v>
      </c>
      <c r="AU52" s="828">
        <v>496.43400000000003</v>
      </c>
      <c r="AV52" s="1007">
        <v>0.82</v>
      </c>
      <c r="AW52" s="828">
        <v>134.23780487804879</v>
      </c>
      <c r="AX52" s="828">
        <v>48.670731707317067</v>
      </c>
      <c r="AY52" s="828">
        <v>478.2717804878049</v>
      </c>
      <c r="AZ52" s="828">
        <v>661.18031707317073</v>
      </c>
      <c r="BA52" s="1016">
        <v>661.18031707317073</v>
      </c>
      <c r="BB52" s="830">
        <v>86.746857599999984</v>
      </c>
      <c r="BC52" s="1025">
        <v>0.55588592064457676</v>
      </c>
      <c r="BD52" s="829"/>
      <c r="BE52" s="830"/>
      <c r="BF52" s="849">
        <v>0.22560975609756098</v>
      </c>
      <c r="BG52" s="849">
        <v>0.21097560975609758</v>
      </c>
      <c r="BH52" s="850">
        <v>410</v>
      </c>
      <c r="BI52" s="849">
        <v>9.4951219512195116E-3</v>
      </c>
      <c r="BJ52" s="849">
        <v>0.22788292682926828</v>
      </c>
      <c r="BK52" s="902">
        <v>0</v>
      </c>
      <c r="BL52" s="1071">
        <v>100</v>
      </c>
      <c r="BN52" s="807">
        <v>0.55000000000000004</v>
      </c>
    </row>
    <row r="53" spans="1:66" x14ac:dyDescent="0.2">
      <c r="A53" s="891" t="s">
        <v>804</v>
      </c>
      <c r="B53" s="891" t="s">
        <v>805</v>
      </c>
      <c r="C53" s="902" t="s">
        <v>700</v>
      </c>
      <c r="D53" s="902" t="s">
        <v>797</v>
      </c>
      <c r="E53" s="902">
        <v>7</v>
      </c>
      <c r="F53" s="902">
        <v>3</v>
      </c>
      <c r="G53" s="902">
        <v>1</v>
      </c>
      <c r="H53" s="902">
        <v>5</v>
      </c>
      <c r="I53" s="903"/>
      <c r="J53" s="837" t="s">
        <v>730</v>
      </c>
      <c r="K53" s="831">
        <v>20</v>
      </c>
      <c r="L53" s="927">
        <v>4.6000000000000005</v>
      </c>
      <c r="M53" s="919">
        <v>1.4000000000000001</v>
      </c>
      <c r="N53" s="883">
        <v>0.61108686163247505</v>
      </c>
      <c r="O53" s="928">
        <v>5</v>
      </c>
      <c r="P53" s="883">
        <v>4.1493775933609953</v>
      </c>
      <c r="Q53" s="806">
        <v>0</v>
      </c>
      <c r="R53" s="807">
        <v>0</v>
      </c>
      <c r="S53" s="807">
        <v>0</v>
      </c>
      <c r="T53" s="807">
        <v>0</v>
      </c>
      <c r="U53" s="807">
        <v>0</v>
      </c>
      <c r="V53" s="806">
        <v>0.46</v>
      </c>
      <c r="W53" s="807">
        <v>0.14000000000000001</v>
      </c>
      <c r="X53" s="807">
        <v>6.1108686163247501E-2</v>
      </c>
      <c r="Y53" s="807">
        <v>0.5</v>
      </c>
      <c r="Z53" s="807">
        <v>0.41493775933609955</v>
      </c>
      <c r="AA53" s="918"/>
      <c r="AB53" s="919">
        <v>200</v>
      </c>
      <c r="AC53" s="930"/>
      <c r="AD53" s="926"/>
      <c r="AE53" s="827"/>
      <c r="AF53" s="920" t="s">
        <v>377</v>
      </c>
      <c r="AG53" s="833">
        <v>2425</v>
      </c>
      <c r="AH53" s="834" t="s">
        <v>787</v>
      </c>
      <c r="AI53" s="833">
        <v>160</v>
      </c>
      <c r="AJ53" s="931">
        <v>180</v>
      </c>
      <c r="AK53" s="931">
        <v>185</v>
      </c>
      <c r="AL53" s="931">
        <v>52</v>
      </c>
      <c r="AM53" s="931">
        <v>180</v>
      </c>
      <c r="AN53" s="931">
        <v>0</v>
      </c>
      <c r="AO53" s="931">
        <v>5</v>
      </c>
      <c r="AP53" s="931">
        <v>403</v>
      </c>
      <c r="AQ53" s="932">
        <v>85</v>
      </c>
      <c r="AR53" s="933">
        <v>83.7</v>
      </c>
      <c r="AS53" s="933">
        <v>61.4</v>
      </c>
      <c r="AT53" s="934">
        <v>85.8</v>
      </c>
      <c r="AU53" s="828">
        <v>496.43400000000003</v>
      </c>
      <c r="AV53" s="1007">
        <v>0.82</v>
      </c>
      <c r="AW53" s="828">
        <v>134.23780487804879</v>
      </c>
      <c r="AX53" s="828">
        <v>48.670731707317067</v>
      </c>
      <c r="AY53" s="828">
        <v>478.2717804878049</v>
      </c>
      <c r="AZ53" s="828">
        <v>661.18031707317073</v>
      </c>
      <c r="BA53" s="1016">
        <v>661.18031707317073</v>
      </c>
      <c r="BB53" s="830">
        <v>86.746857599999984</v>
      </c>
      <c r="BC53" s="1025">
        <v>0.55588592064457676</v>
      </c>
      <c r="BD53" s="829"/>
      <c r="BE53" s="830"/>
      <c r="BF53" s="849">
        <v>0.22560975609756098</v>
      </c>
      <c r="BG53" s="849">
        <v>0.21097560975609758</v>
      </c>
      <c r="BH53" s="850">
        <v>410</v>
      </c>
      <c r="BI53" s="849">
        <v>9.4951219512195116E-3</v>
      </c>
      <c r="BJ53" s="849">
        <v>0.22788292682926828</v>
      </c>
      <c r="BK53" s="902">
        <v>0</v>
      </c>
      <c r="BL53" s="1071">
        <v>100</v>
      </c>
      <c r="BN53" s="807">
        <v>0.55000000000000004</v>
      </c>
    </row>
    <row r="54" spans="1:66" x14ac:dyDescent="0.2">
      <c r="A54" s="891" t="s">
        <v>806</v>
      </c>
      <c r="B54" s="891" t="s">
        <v>807</v>
      </c>
      <c r="C54" s="902" t="s">
        <v>700</v>
      </c>
      <c r="D54" s="902" t="s">
        <v>797</v>
      </c>
      <c r="E54" s="902">
        <v>7</v>
      </c>
      <c r="F54" s="902">
        <v>3</v>
      </c>
      <c r="G54" s="902">
        <v>1</v>
      </c>
      <c r="H54" s="902">
        <v>5</v>
      </c>
      <c r="I54" s="903"/>
      <c r="J54" s="837" t="s">
        <v>730</v>
      </c>
      <c r="K54" s="831">
        <v>20</v>
      </c>
      <c r="L54" s="927">
        <v>4.6000000000000005</v>
      </c>
      <c r="M54" s="919">
        <v>1.4000000000000001</v>
      </c>
      <c r="N54" s="883">
        <v>0.61108686163247505</v>
      </c>
      <c r="O54" s="928">
        <v>5</v>
      </c>
      <c r="P54" s="883">
        <v>4.1493775933609953</v>
      </c>
      <c r="Q54" s="806">
        <v>0</v>
      </c>
      <c r="R54" s="807">
        <v>0</v>
      </c>
      <c r="S54" s="807">
        <v>0</v>
      </c>
      <c r="T54" s="807">
        <v>0</v>
      </c>
      <c r="U54" s="807">
        <v>0</v>
      </c>
      <c r="V54" s="806">
        <v>0.46</v>
      </c>
      <c r="W54" s="807">
        <v>0.14000000000000001</v>
      </c>
      <c r="X54" s="807">
        <v>6.1108686163247501E-2</v>
      </c>
      <c r="Y54" s="807">
        <v>0.5</v>
      </c>
      <c r="Z54" s="807">
        <v>0.41493775933609955</v>
      </c>
      <c r="AA54" s="918"/>
      <c r="AB54" s="919">
        <v>200</v>
      </c>
      <c r="AC54" s="930"/>
      <c r="AD54" s="926"/>
      <c r="AE54" s="827"/>
      <c r="AF54" s="920" t="s">
        <v>377</v>
      </c>
      <c r="AG54" s="833">
        <v>2445</v>
      </c>
      <c r="AH54" s="834" t="s">
        <v>786</v>
      </c>
      <c r="AI54" s="833">
        <v>150</v>
      </c>
      <c r="AJ54" s="931">
        <v>150</v>
      </c>
      <c r="AK54" s="931">
        <v>130</v>
      </c>
      <c r="AL54" s="931">
        <v>41</v>
      </c>
      <c r="AM54" s="931">
        <v>140</v>
      </c>
      <c r="AN54" s="931">
        <v>0</v>
      </c>
      <c r="AO54" s="931">
        <v>5</v>
      </c>
      <c r="AP54" s="931">
        <v>539</v>
      </c>
      <c r="AQ54" s="932">
        <v>79.5</v>
      </c>
      <c r="AR54" s="933">
        <v>80.2</v>
      </c>
      <c r="AS54" s="933">
        <v>73.400000000000006</v>
      </c>
      <c r="AT54" s="934">
        <v>88</v>
      </c>
      <c r="AU54" s="828">
        <v>586.6</v>
      </c>
      <c r="AV54" s="1007">
        <v>0.85</v>
      </c>
      <c r="AW54" s="828">
        <v>85.111764705882365</v>
      </c>
      <c r="AX54" s="828">
        <v>44.255882352941185</v>
      </c>
      <c r="AY54" s="828">
        <v>545.19294117647064</v>
      </c>
      <c r="AZ54" s="828">
        <v>674.56058823529418</v>
      </c>
      <c r="BA54" s="1016">
        <v>674.56058823529418</v>
      </c>
      <c r="BB54" s="830">
        <v>86.006475000000009</v>
      </c>
      <c r="BC54" s="1025">
        <v>0.53830572058673487</v>
      </c>
      <c r="BD54" s="829"/>
      <c r="BE54" s="830"/>
      <c r="BF54" s="849">
        <v>0.15294117647058822</v>
      </c>
      <c r="BG54" s="849">
        <v>0.40470588235294114</v>
      </c>
      <c r="BH54" s="850">
        <v>335</v>
      </c>
      <c r="BI54" s="849">
        <v>1.0221176470588234E-2</v>
      </c>
      <c r="BJ54" s="849">
        <v>0.2453082352941176</v>
      </c>
      <c r="BK54" s="902">
        <v>0</v>
      </c>
      <c r="BL54" s="1071">
        <v>100</v>
      </c>
      <c r="BN54" s="807">
        <v>0.55000000000000004</v>
      </c>
    </row>
    <row r="55" spans="1:66" x14ac:dyDescent="0.2">
      <c r="A55" s="891" t="s">
        <v>808</v>
      </c>
      <c r="B55" s="891" t="s">
        <v>809</v>
      </c>
      <c r="C55" s="902" t="s">
        <v>700</v>
      </c>
      <c r="D55" s="902" t="s">
        <v>797</v>
      </c>
      <c r="E55" s="902">
        <v>7</v>
      </c>
      <c r="F55" s="902">
        <v>3</v>
      </c>
      <c r="G55" s="902">
        <v>1</v>
      </c>
      <c r="H55" s="902">
        <v>5</v>
      </c>
      <c r="I55" s="903"/>
      <c r="J55" s="837" t="s">
        <v>730</v>
      </c>
      <c r="K55" s="831">
        <v>20</v>
      </c>
      <c r="L55" s="927">
        <v>4.6000000000000005</v>
      </c>
      <c r="M55" s="919">
        <v>1.4000000000000001</v>
      </c>
      <c r="N55" s="883">
        <v>0.61108686163247505</v>
      </c>
      <c r="O55" s="928">
        <v>5</v>
      </c>
      <c r="P55" s="883">
        <v>4.1493775933609953</v>
      </c>
      <c r="Q55" s="806">
        <v>0</v>
      </c>
      <c r="R55" s="807">
        <v>0</v>
      </c>
      <c r="S55" s="807">
        <v>0</v>
      </c>
      <c r="T55" s="807">
        <v>0</v>
      </c>
      <c r="U55" s="807">
        <v>0</v>
      </c>
      <c r="V55" s="806">
        <v>0.46</v>
      </c>
      <c r="W55" s="807">
        <v>0.14000000000000001</v>
      </c>
      <c r="X55" s="807">
        <v>6.1108686163247501E-2</v>
      </c>
      <c r="Y55" s="807">
        <v>0.5</v>
      </c>
      <c r="Z55" s="807">
        <v>0.41493775933609955</v>
      </c>
      <c r="AA55" s="828"/>
      <c r="AB55" s="919">
        <v>200</v>
      </c>
      <c r="AC55" s="930"/>
      <c r="AD55" s="926"/>
      <c r="AE55" s="827"/>
      <c r="AF55" s="920" t="s">
        <v>377</v>
      </c>
      <c r="AG55" s="833">
        <v>1465</v>
      </c>
      <c r="AH55" s="834" t="s">
        <v>810</v>
      </c>
      <c r="AI55" s="833">
        <v>140</v>
      </c>
      <c r="AJ55" s="931">
        <v>160</v>
      </c>
      <c r="AK55" s="931">
        <v>215</v>
      </c>
      <c r="AL55" s="931">
        <v>26</v>
      </c>
      <c r="AM55" s="931">
        <v>210</v>
      </c>
      <c r="AN55" s="931">
        <v>0</v>
      </c>
      <c r="AO55" s="931">
        <v>110</v>
      </c>
      <c r="AP55" s="931">
        <v>389</v>
      </c>
      <c r="AQ55" s="932">
        <v>79</v>
      </c>
      <c r="AR55" s="933">
        <v>65.099999999999994</v>
      </c>
      <c r="AS55" s="933">
        <v>66</v>
      </c>
      <c r="AT55" s="934">
        <v>73.8</v>
      </c>
      <c r="AU55" s="828">
        <v>423.79199999999997</v>
      </c>
      <c r="AV55" s="1007">
        <v>0.84</v>
      </c>
      <c r="AW55" s="828">
        <v>141.54166666666669</v>
      </c>
      <c r="AX55" s="828">
        <v>25.535714285714288</v>
      </c>
      <c r="AY55" s="828">
        <v>398.56628571428564</v>
      </c>
      <c r="AZ55" s="828">
        <v>565.6436666666666</v>
      </c>
      <c r="BA55" s="1016">
        <v>565.6436666666666</v>
      </c>
      <c r="BB55" s="830">
        <v>66.519695200000001</v>
      </c>
      <c r="BC55" s="1025">
        <v>0.56067455642821407</v>
      </c>
      <c r="BD55" s="829"/>
      <c r="BE55" s="830"/>
      <c r="BF55" s="849">
        <v>0.25595238095238099</v>
      </c>
      <c r="BG55" s="849">
        <v>0.2011904761904762</v>
      </c>
      <c r="BH55" s="850">
        <v>430</v>
      </c>
      <c r="BI55" s="849">
        <v>1.0045238095238097E-2</v>
      </c>
      <c r="BJ55" s="849">
        <v>0.24108571428571432</v>
      </c>
      <c r="BK55" s="902">
        <v>0</v>
      </c>
      <c r="BL55" s="1071">
        <v>100</v>
      </c>
      <c r="BN55" s="807">
        <v>0.55000000000000004</v>
      </c>
    </row>
    <row r="56" spans="1:66" x14ac:dyDescent="0.2">
      <c r="A56" s="887" t="s">
        <v>812</v>
      </c>
      <c r="B56" s="887" t="s">
        <v>813</v>
      </c>
      <c r="C56" s="902" t="s">
        <v>700</v>
      </c>
      <c r="D56" s="902" t="s">
        <v>797</v>
      </c>
      <c r="E56" s="902">
        <v>7</v>
      </c>
      <c r="F56" s="902">
        <v>3</v>
      </c>
      <c r="G56" s="902">
        <v>1</v>
      </c>
      <c r="H56" s="902">
        <v>5</v>
      </c>
      <c r="I56" s="903"/>
      <c r="J56" s="837" t="s">
        <v>730</v>
      </c>
      <c r="K56" s="917">
        <v>20</v>
      </c>
      <c r="L56" s="927">
        <v>4.6000000000000005</v>
      </c>
      <c r="M56" s="919">
        <v>1.4000000000000001</v>
      </c>
      <c r="N56" s="883">
        <v>0.61108686163247505</v>
      </c>
      <c r="O56" s="928">
        <v>5</v>
      </c>
      <c r="P56" s="883">
        <v>4.1493775933609953</v>
      </c>
      <c r="Q56" s="806">
        <v>0</v>
      </c>
      <c r="R56" s="807">
        <v>0</v>
      </c>
      <c r="S56" s="807">
        <v>0</v>
      </c>
      <c r="T56" s="807">
        <v>0</v>
      </c>
      <c r="U56" s="807">
        <v>0</v>
      </c>
      <c r="V56" s="806">
        <v>0.46</v>
      </c>
      <c r="W56" s="807">
        <v>0.14000000000000001</v>
      </c>
      <c r="X56" s="807">
        <v>6.1108686163247501E-2</v>
      </c>
      <c r="Y56" s="807">
        <v>0.5</v>
      </c>
      <c r="Z56" s="807">
        <v>0.41493775933609955</v>
      </c>
      <c r="AA56" s="828"/>
      <c r="AB56" s="919">
        <v>250</v>
      </c>
      <c r="AC56" s="930">
        <v>0.26</v>
      </c>
      <c r="AD56" s="926"/>
      <c r="AE56" s="827"/>
      <c r="AF56" s="920" t="s">
        <v>377</v>
      </c>
      <c r="AG56" s="833">
        <v>2865</v>
      </c>
      <c r="AH56" s="834" t="s">
        <v>811</v>
      </c>
      <c r="AI56" s="833">
        <v>350</v>
      </c>
      <c r="AJ56" s="931">
        <v>130</v>
      </c>
      <c r="AK56" s="931">
        <v>165</v>
      </c>
      <c r="AL56" s="931">
        <v>31</v>
      </c>
      <c r="AM56" s="931">
        <v>260</v>
      </c>
      <c r="AN56" s="931">
        <v>0</v>
      </c>
      <c r="AO56" s="931">
        <v>30</v>
      </c>
      <c r="AP56" s="931">
        <v>414</v>
      </c>
      <c r="AQ56" s="932">
        <v>68.3</v>
      </c>
      <c r="AR56" s="933">
        <v>71</v>
      </c>
      <c r="AS56" s="933">
        <v>64.900000000000006</v>
      </c>
      <c r="AT56" s="934">
        <v>72.599999999999994</v>
      </c>
      <c r="AU56" s="828">
        <v>485.16399999999993</v>
      </c>
      <c r="AV56" s="1007">
        <v>0.87</v>
      </c>
      <c r="AW56" s="828">
        <v>90.674137931034466</v>
      </c>
      <c r="AX56" s="828">
        <v>28.9066091954023</v>
      </c>
      <c r="AY56" s="828">
        <v>440.55121839080454</v>
      </c>
      <c r="AZ56" s="828">
        <v>560.13196551724127</v>
      </c>
      <c r="BA56" s="1016">
        <v>560.13196551724127</v>
      </c>
      <c r="BB56" s="830">
        <v>170.56018349999999</v>
      </c>
      <c r="BC56" s="1025">
        <v>0.5432840118280009</v>
      </c>
      <c r="BD56" s="829"/>
      <c r="BE56" s="830"/>
      <c r="BF56" s="849">
        <v>0.18965517241379312</v>
      </c>
      <c r="BG56" s="849">
        <v>0.17701149425287357</v>
      </c>
      <c r="BH56" s="850">
        <v>520</v>
      </c>
      <c r="BI56" s="849">
        <v>8.2965517241379311E-3</v>
      </c>
      <c r="BJ56" s="849">
        <v>0.19911724137931036</v>
      </c>
      <c r="BK56" s="902">
        <v>0</v>
      </c>
      <c r="BL56" s="1071">
        <v>100</v>
      </c>
      <c r="BN56" s="807">
        <v>0.55000000000000004</v>
      </c>
    </row>
    <row r="57" spans="1:66" x14ac:dyDescent="0.2">
      <c r="A57" s="891" t="s">
        <v>814</v>
      </c>
      <c r="B57" s="891" t="s">
        <v>815</v>
      </c>
      <c r="C57" s="902" t="s">
        <v>700</v>
      </c>
      <c r="D57" s="902" t="s">
        <v>797</v>
      </c>
      <c r="E57" s="902">
        <v>7</v>
      </c>
      <c r="F57" s="902">
        <v>3</v>
      </c>
      <c r="G57" s="902">
        <v>1</v>
      </c>
      <c r="H57" s="902">
        <v>5</v>
      </c>
      <c r="I57" s="903"/>
      <c r="J57" s="837" t="s">
        <v>730</v>
      </c>
      <c r="K57" s="917">
        <v>30</v>
      </c>
      <c r="L57" s="935">
        <v>4.8</v>
      </c>
      <c r="M57" s="928">
        <v>2</v>
      </c>
      <c r="N57" s="883">
        <v>0.87298123090353563</v>
      </c>
      <c r="O57" s="928">
        <v>4</v>
      </c>
      <c r="P57" s="883">
        <v>3.3195020746887964</v>
      </c>
      <c r="Q57" s="936">
        <v>0</v>
      </c>
      <c r="R57" s="937">
        <v>0</v>
      </c>
      <c r="S57" s="937">
        <v>0</v>
      </c>
      <c r="T57" s="937">
        <v>0</v>
      </c>
      <c r="U57" s="937">
        <v>0</v>
      </c>
      <c r="V57" s="936">
        <v>0.48</v>
      </c>
      <c r="W57" s="937">
        <v>0.2</v>
      </c>
      <c r="X57" s="937">
        <v>8.7298123090353563E-2</v>
      </c>
      <c r="Y57" s="937">
        <v>0.4</v>
      </c>
      <c r="Z57" s="937">
        <v>0.33195020746887965</v>
      </c>
      <c r="AA57" s="918"/>
      <c r="AB57" s="919">
        <v>200</v>
      </c>
      <c r="AC57" s="920"/>
      <c r="AD57" s="921"/>
      <c r="AE57" s="827"/>
      <c r="AF57" s="920" t="s">
        <v>377</v>
      </c>
      <c r="AG57" s="833">
        <v>2165</v>
      </c>
      <c r="AH57" s="834" t="s">
        <v>816</v>
      </c>
      <c r="AI57" s="833">
        <v>250</v>
      </c>
      <c r="AJ57" s="931">
        <v>110</v>
      </c>
      <c r="AK57" s="931">
        <v>140</v>
      </c>
      <c r="AL57" s="931">
        <v>37</v>
      </c>
      <c r="AM57" s="931">
        <v>298</v>
      </c>
      <c r="AN57" s="931">
        <v>0</v>
      </c>
      <c r="AO57" s="931">
        <v>2</v>
      </c>
      <c r="AP57" s="931">
        <v>415</v>
      </c>
      <c r="AQ57" s="932">
        <v>72.8</v>
      </c>
      <c r="AR57" s="933">
        <v>77.599999999999994</v>
      </c>
      <c r="AS57" s="933">
        <v>72.2</v>
      </c>
      <c r="AT57" s="934">
        <v>72.2</v>
      </c>
      <c r="AU57" s="828">
        <v>530.87800000000004</v>
      </c>
      <c r="AV57" s="1007">
        <v>0.89</v>
      </c>
      <c r="AW57" s="828">
        <v>80.161797752808994</v>
      </c>
      <c r="AX57" s="828">
        <v>37.519662921348313</v>
      </c>
      <c r="AY57" s="828">
        <v>471.22878651685397</v>
      </c>
      <c r="AZ57" s="828">
        <v>588.91024719101131</v>
      </c>
      <c r="BA57" s="1016">
        <v>588.91024719101131</v>
      </c>
      <c r="BB57" s="830">
        <v>131.03253000000001</v>
      </c>
      <c r="BC57" s="1025">
        <v>0.54005282123454379</v>
      </c>
      <c r="BD57" s="829"/>
      <c r="BE57" s="830"/>
      <c r="BF57" s="849">
        <v>0.15730337078651688</v>
      </c>
      <c r="BG57" s="849">
        <v>0.15505617977528088</v>
      </c>
      <c r="BH57" s="850">
        <v>575</v>
      </c>
      <c r="BI57" s="849">
        <v>7.3213483146067418E-3</v>
      </c>
      <c r="BJ57" s="849">
        <v>0.1757123595505618</v>
      </c>
      <c r="BK57" s="902">
        <v>0</v>
      </c>
      <c r="BL57" s="1071">
        <v>100</v>
      </c>
      <c r="BN57" s="807">
        <v>0.55000000000000004</v>
      </c>
    </row>
    <row r="58" spans="1:66" x14ac:dyDescent="0.2">
      <c r="A58" s="891" t="s">
        <v>817</v>
      </c>
      <c r="B58" s="891" t="s">
        <v>818</v>
      </c>
      <c r="C58" s="902" t="s">
        <v>700</v>
      </c>
      <c r="D58" s="902" t="s">
        <v>797</v>
      </c>
      <c r="E58" s="902">
        <v>7</v>
      </c>
      <c r="F58" s="902">
        <v>3</v>
      </c>
      <c r="G58" s="902">
        <v>1</v>
      </c>
      <c r="H58" s="902">
        <v>5</v>
      </c>
      <c r="I58" s="903"/>
      <c r="J58" s="837" t="s">
        <v>730</v>
      </c>
      <c r="K58" s="917">
        <v>28</v>
      </c>
      <c r="L58" s="938">
        <v>3.8</v>
      </c>
      <c r="M58" s="939">
        <v>1.6</v>
      </c>
      <c r="N58" s="883">
        <v>0.69838498472282851</v>
      </c>
      <c r="O58" s="939">
        <v>4.5</v>
      </c>
      <c r="P58" s="883">
        <v>3.7344398340248963</v>
      </c>
      <c r="Q58" s="806">
        <v>0</v>
      </c>
      <c r="R58" s="807">
        <v>0</v>
      </c>
      <c r="S58" s="807">
        <v>0</v>
      </c>
      <c r="T58" s="807">
        <v>0</v>
      </c>
      <c r="U58" s="807">
        <v>0</v>
      </c>
      <c r="V58" s="890">
        <v>0.38</v>
      </c>
      <c r="W58" s="899">
        <v>0.16</v>
      </c>
      <c r="X58" s="899">
        <v>6.9838498472282851E-2</v>
      </c>
      <c r="Y58" s="899">
        <v>0.45</v>
      </c>
      <c r="Z58" s="899">
        <v>0.37344398340248963</v>
      </c>
      <c r="AA58" s="848"/>
      <c r="AB58" s="919">
        <v>250</v>
      </c>
      <c r="AC58" s="930"/>
      <c r="AD58" s="926"/>
      <c r="AE58" s="827"/>
      <c r="AF58" s="920" t="s">
        <v>377</v>
      </c>
      <c r="AG58" s="833">
        <v>2200</v>
      </c>
      <c r="AH58" s="834" t="s">
        <v>769</v>
      </c>
      <c r="AI58" s="833">
        <v>350</v>
      </c>
      <c r="AJ58" s="828">
        <v>38</v>
      </c>
      <c r="AK58" s="828">
        <v>82</v>
      </c>
      <c r="AL58" s="828">
        <v>33</v>
      </c>
      <c r="AM58" s="828">
        <v>195</v>
      </c>
      <c r="AN58" s="828">
        <v>295</v>
      </c>
      <c r="AO58" s="828">
        <v>10</v>
      </c>
      <c r="AP58" s="828">
        <v>652</v>
      </c>
      <c r="AQ58" s="829">
        <v>56.7</v>
      </c>
      <c r="AR58" s="835">
        <v>63</v>
      </c>
      <c r="AS58" s="835">
        <v>77.5</v>
      </c>
      <c r="AT58" s="830">
        <v>78.599999999999994</v>
      </c>
      <c r="AU58" s="828">
        <v>635.322</v>
      </c>
      <c r="AV58" s="1007">
        <v>0.96199999999999997</v>
      </c>
      <c r="AW58" s="828">
        <v>33.831392931392941</v>
      </c>
      <c r="AX58" s="828">
        <v>33.231548856548855</v>
      </c>
      <c r="AY58" s="828">
        <v>521.73012474012478</v>
      </c>
      <c r="AZ58" s="828">
        <v>588.79306652806656</v>
      </c>
      <c r="BA58" s="1016">
        <v>588.79306652806656</v>
      </c>
      <c r="BB58" s="830">
        <v>198.24662549999999</v>
      </c>
      <c r="BC58" s="1025">
        <v>0.52222558663426033</v>
      </c>
      <c r="BD58" s="829"/>
      <c r="BE58" s="830"/>
      <c r="BF58" s="849">
        <v>8.5239085239085244E-2</v>
      </c>
      <c r="BG58" s="849">
        <v>0.37629937629937632</v>
      </c>
      <c r="BH58" s="850">
        <v>485</v>
      </c>
      <c r="BI58" s="849">
        <v>8.3908523908523911E-3</v>
      </c>
      <c r="BJ58" s="849">
        <v>0.2013804573804574</v>
      </c>
      <c r="BK58" s="902">
        <v>0</v>
      </c>
      <c r="BL58" s="1071">
        <v>100</v>
      </c>
      <c r="BN58" s="807">
        <v>0.55000000000000004</v>
      </c>
    </row>
    <row r="59" spans="1:66" x14ac:dyDescent="0.2">
      <c r="A59" s="891" t="s">
        <v>819</v>
      </c>
      <c r="B59" s="891" t="s">
        <v>820</v>
      </c>
      <c r="C59" s="902" t="s">
        <v>700</v>
      </c>
      <c r="D59" s="902" t="s">
        <v>797</v>
      </c>
      <c r="E59" s="902">
        <v>8</v>
      </c>
      <c r="F59" s="902">
        <v>3</v>
      </c>
      <c r="G59" s="902">
        <v>1</v>
      </c>
      <c r="H59" s="902">
        <v>5</v>
      </c>
      <c r="I59" s="903"/>
      <c r="J59" s="837" t="s">
        <v>730</v>
      </c>
      <c r="K59" s="917">
        <v>28</v>
      </c>
      <c r="L59" s="838">
        <v>4.0999999999999996</v>
      </c>
      <c r="M59" s="839">
        <v>1.7999999999999998</v>
      </c>
      <c r="N59" s="883">
        <v>0.78568310781318207</v>
      </c>
      <c r="O59" s="839">
        <v>4.8</v>
      </c>
      <c r="P59" s="883">
        <v>3.9834024896265556</v>
      </c>
      <c r="Q59" s="806">
        <v>0</v>
      </c>
      <c r="R59" s="807">
        <v>0</v>
      </c>
      <c r="S59" s="807">
        <v>0</v>
      </c>
      <c r="T59" s="807">
        <v>0</v>
      </c>
      <c r="U59" s="807">
        <v>0</v>
      </c>
      <c r="V59" s="806">
        <v>0.41</v>
      </c>
      <c r="W59" s="807">
        <v>0.18</v>
      </c>
      <c r="X59" s="807">
        <v>7.8568310781318207E-2</v>
      </c>
      <c r="Y59" s="807">
        <v>0.48</v>
      </c>
      <c r="Z59" s="807">
        <v>0.39834024896265557</v>
      </c>
      <c r="AA59" s="828"/>
      <c r="AB59" s="919">
        <v>250</v>
      </c>
      <c r="AC59" s="930"/>
      <c r="AD59" s="926"/>
      <c r="AE59" s="827"/>
      <c r="AF59" s="920" t="s">
        <v>377</v>
      </c>
      <c r="AG59" s="833">
        <v>1875</v>
      </c>
      <c r="AH59" s="834" t="s">
        <v>821</v>
      </c>
      <c r="AI59" s="833">
        <v>220</v>
      </c>
      <c r="AJ59" s="931">
        <v>84</v>
      </c>
      <c r="AK59" s="931">
        <v>80</v>
      </c>
      <c r="AL59" s="931">
        <v>20</v>
      </c>
      <c r="AM59" s="931">
        <v>330</v>
      </c>
      <c r="AN59" s="931">
        <v>0</v>
      </c>
      <c r="AO59" s="931">
        <v>120</v>
      </c>
      <c r="AP59" s="931">
        <v>486</v>
      </c>
      <c r="AQ59" s="932">
        <v>54</v>
      </c>
      <c r="AR59" s="933">
        <v>63.9</v>
      </c>
      <c r="AS59" s="933">
        <v>55.3</v>
      </c>
      <c r="AT59" s="934">
        <v>71.7</v>
      </c>
      <c r="AU59" s="828">
        <v>559.33199999999999</v>
      </c>
      <c r="AV59" s="1007">
        <v>0.91600000000000004</v>
      </c>
      <c r="AW59" s="828">
        <v>33.013100436681221</v>
      </c>
      <c r="AX59" s="828">
        <v>15.092794759825326</v>
      </c>
      <c r="AY59" s="828">
        <v>482.39331877729251</v>
      </c>
      <c r="AZ59" s="828">
        <v>530.4992139737991</v>
      </c>
      <c r="BA59" s="1016">
        <v>530.4992139737991</v>
      </c>
      <c r="BB59" s="830">
        <v>106.90620159999999</v>
      </c>
      <c r="BC59" s="1025">
        <v>0.51818938444072449</v>
      </c>
      <c r="BD59" s="829"/>
      <c r="BE59" s="830"/>
      <c r="BF59" s="849">
        <v>8.7336244541484712E-2</v>
      </c>
      <c r="BG59" s="849">
        <v>0.23580786026200873</v>
      </c>
      <c r="BH59" s="850">
        <v>600</v>
      </c>
      <c r="BI59" s="849">
        <v>6.7510917030567689E-3</v>
      </c>
      <c r="BJ59" s="849">
        <v>0.16202620087336245</v>
      </c>
      <c r="BK59" s="902">
        <v>0</v>
      </c>
      <c r="BL59" s="1071">
        <v>100</v>
      </c>
      <c r="BN59" s="807">
        <v>0.55000000000000004</v>
      </c>
    </row>
    <row r="60" spans="1:66" x14ac:dyDescent="0.2">
      <c r="A60" s="891"/>
      <c r="B60" s="891"/>
      <c r="C60" s="902"/>
      <c r="D60" s="902"/>
      <c r="E60" s="902"/>
      <c r="F60" s="902"/>
      <c r="G60" s="902"/>
      <c r="H60" s="902"/>
      <c r="I60" s="903"/>
      <c r="J60" s="837"/>
      <c r="K60" s="917"/>
      <c r="L60" s="838"/>
      <c r="M60" s="839"/>
      <c r="N60" s="883"/>
      <c r="O60" s="839"/>
      <c r="P60" s="883"/>
      <c r="Q60" s="806"/>
      <c r="R60" s="807"/>
      <c r="S60" s="807"/>
      <c r="T60" s="807"/>
      <c r="U60" s="807"/>
      <c r="V60" s="806"/>
      <c r="W60" s="807"/>
      <c r="X60" s="807"/>
      <c r="Y60" s="807"/>
      <c r="Z60" s="807"/>
      <c r="AA60" s="828"/>
      <c r="AB60" s="919"/>
      <c r="AC60" s="930"/>
      <c r="AD60" s="926"/>
      <c r="AE60" s="827"/>
      <c r="AF60" s="920"/>
      <c r="AG60" s="833"/>
      <c r="AH60" s="834"/>
      <c r="AI60" s="833"/>
      <c r="AJ60" s="931"/>
      <c r="AK60" s="931"/>
      <c r="AL60" s="931"/>
      <c r="AM60" s="931"/>
      <c r="AN60" s="931"/>
      <c r="AO60" s="931"/>
      <c r="AP60" s="931"/>
      <c r="AQ60" s="932"/>
      <c r="AR60" s="933"/>
      <c r="AS60" s="933"/>
      <c r="AT60" s="934"/>
      <c r="AU60" s="828"/>
      <c r="AV60" s="1007"/>
      <c r="AW60" s="828"/>
      <c r="AX60" s="828"/>
      <c r="AY60" s="828"/>
      <c r="AZ60" s="828"/>
      <c r="BA60" s="1016"/>
      <c r="BB60" s="830"/>
      <c r="BC60" s="1025"/>
      <c r="BD60" s="829"/>
      <c r="BE60" s="830"/>
      <c r="BF60" s="849"/>
      <c r="BG60" s="849"/>
      <c r="BH60" s="850"/>
      <c r="BI60" s="849"/>
      <c r="BJ60" s="849"/>
      <c r="BK60" s="902"/>
      <c r="BL60" s="1071">
        <v>100</v>
      </c>
      <c r="BN60" s="807">
        <v>0.55000000000000004</v>
      </c>
    </row>
    <row r="61" spans="1:66" x14ac:dyDescent="0.2">
      <c r="A61" s="940" t="s">
        <v>822</v>
      </c>
      <c r="B61" s="940"/>
      <c r="C61" s="902" t="s">
        <v>700</v>
      </c>
      <c r="D61" s="903"/>
      <c r="E61" s="902"/>
      <c r="F61" s="902"/>
      <c r="G61" s="902"/>
      <c r="H61" s="902"/>
      <c r="I61" s="903"/>
      <c r="J61" s="852"/>
      <c r="K61" s="941"/>
      <c r="L61" s="878"/>
      <c r="M61" s="855"/>
      <c r="N61" s="855"/>
      <c r="O61" s="855"/>
      <c r="P61" s="855"/>
      <c r="Q61" s="854"/>
      <c r="R61" s="857"/>
      <c r="S61" s="857"/>
      <c r="T61" s="857"/>
      <c r="U61" s="857"/>
      <c r="V61" s="854"/>
      <c r="W61" s="857"/>
      <c r="X61" s="857"/>
      <c r="Y61" s="857"/>
      <c r="Z61" s="857"/>
      <c r="AA61" s="863"/>
      <c r="AB61" s="942"/>
      <c r="AC61" s="943"/>
      <c r="AD61" s="944"/>
      <c r="AE61" s="860"/>
      <c r="AF61" s="945"/>
      <c r="AG61" s="860"/>
      <c r="AH61" s="860"/>
      <c r="AI61" s="861"/>
      <c r="AJ61" s="946"/>
      <c r="AK61" s="863"/>
      <c r="AL61" s="863"/>
      <c r="AM61" s="863"/>
      <c r="AN61" s="863"/>
      <c r="AO61" s="863"/>
      <c r="AP61" s="863"/>
      <c r="AQ61" s="864"/>
      <c r="AR61" s="865"/>
      <c r="AS61" s="865"/>
      <c r="AT61" s="866"/>
      <c r="AU61" s="863" t="s">
        <v>708</v>
      </c>
      <c r="AV61" s="1008" t="s">
        <v>708</v>
      </c>
      <c r="AW61" s="863" t="s">
        <v>708</v>
      </c>
      <c r="AX61" s="863" t="s">
        <v>708</v>
      </c>
      <c r="AY61" s="863" t="s">
        <v>708</v>
      </c>
      <c r="AZ61" s="863" t="s">
        <v>708</v>
      </c>
      <c r="BA61" s="1018" t="s">
        <v>708</v>
      </c>
      <c r="BB61" s="866" t="s">
        <v>708</v>
      </c>
      <c r="BC61" s="1026" t="s">
        <v>708</v>
      </c>
      <c r="BD61" s="864"/>
      <c r="BE61" s="866"/>
      <c r="BF61" s="867"/>
      <c r="BG61" s="867"/>
      <c r="BH61" s="868"/>
      <c r="BI61" s="867"/>
      <c r="BJ61" s="867"/>
      <c r="BK61" s="902">
        <v>0</v>
      </c>
      <c r="BL61" s="1071">
        <v>100</v>
      </c>
      <c r="BN61" s="807">
        <v>0.55000000000000004</v>
      </c>
    </row>
    <row r="62" spans="1:66" x14ac:dyDescent="0.2">
      <c r="A62" s="891" t="s">
        <v>823</v>
      </c>
      <c r="B62" s="891" t="s">
        <v>824</v>
      </c>
      <c r="C62" s="902" t="s">
        <v>700</v>
      </c>
      <c r="D62" s="902" t="s">
        <v>797</v>
      </c>
      <c r="E62" s="902">
        <v>7</v>
      </c>
      <c r="F62" s="902">
        <v>3</v>
      </c>
      <c r="G62" s="902">
        <v>1</v>
      </c>
      <c r="H62" s="902">
        <v>5</v>
      </c>
      <c r="I62" s="947"/>
      <c r="J62" s="948" t="s">
        <v>730</v>
      </c>
      <c r="K62" s="949">
        <v>16</v>
      </c>
      <c r="L62" s="950">
        <v>4.6000000000000005</v>
      </c>
      <c r="M62" s="951">
        <v>1.4000000000000001</v>
      </c>
      <c r="N62" s="951">
        <v>0.61108686163247505</v>
      </c>
      <c r="O62" s="952">
        <v>5</v>
      </c>
      <c r="P62" s="952">
        <v>4.1493775933609953</v>
      </c>
      <c r="Q62" s="953">
        <v>0</v>
      </c>
      <c r="R62" s="954">
        <v>0</v>
      </c>
      <c r="S62" s="954">
        <v>0</v>
      </c>
      <c r="T62" s="954">
        <v>0</v>
      </c>
      <c r="U62" s="954">
        <v>0</v>
      </c>
      <c r="V62" s="953">
        <v>0.46</v>
      </c>
      <c r="W62" s="954">
        <v>0.14000000000000001</v>
      </c>
      <c r="X62" s="954">
        <v>6.1108686163247501E-2</v>
      </c>
      <c r="Y62" s="954">
        <v>0.5</v>
      </c>
      <c r="Z62" s="954">
        <v>0.41493775933609955</v>
      </c>
      <c r="AA62" s="955"/>
      <c r="AB62" s="956">
        <v>150</v>
      </c>
      <c r="AC62" s="957"/>
      <c r="AD62" s="958"/>
      <c r="AE62" s="959"/>
      <c r="AF62" s="959" t="s">
        <v>377</v>
      </c>
      <c r="AG62" s="833">
        <v>2865</v>
      </c>
      <c r="AH62" s="834" t="s">
        <v>811</v>
      </c>
      <c r="AI62" s="833">
        <v>350</v>
      </c>
      <c r="AJ62" s="931">
        <v>130</v>
      </c>
      <c r="AK62" s="931">
        <v>165</v>
      </c>
      <c r="AL62" s="931">
        <v>31</v>
      </c>
      <c r="AM62" s="931">
        <v>260</v>
      </c>
      <c r="AN62" s="931">
        <v>0</v>
      </c>
      <c r="AO62" s="931">
        <v>30</v>
      </c>
      <c r="AP62" s="931">
        <v>414</v>
      </c>
      <c r="AQ62" s="932">
        <v>68.3</v>
      </c>
      <c r="AR62" s="933">
        <v>71</v>
      </c>
      <c r="AS62" s="933">
        <v>64.900000000000006</v>
      </c>
      <c r="AT62" s="934">
        <v>72.599999999999994</v>
      </c>
      <c r="AU62" s="828">
        <v>485.16399999999993</v>
      </c>
      <c r="AV62" s="1007">
        <v>0.87</v>
      </c>
      <c r="AW62" s="828">
        <v>90.674137931034466</v>
      </c>
      <c r="AX62" s="828">
        <v>28.9066091954023</v>
      </c>
      <c r="AY62" s="828">
        <v>440.55121839080454</v>
      </c>
      <c r="AZ62" s="828">
        <v>560.13196551724127</v>
      </c>
      <c r="BA62" s="1016">
        <v>560.13196551724127</v>
      </c>
      <c r="BB62" s="830">
        <v>170.56018349999999</v>
      </c>
      <c r="BC62" s="1025">
        <v>0.5432840118280009</v>
      </c>
      <c r="BD62" s="829"/>
      <c r="BE62" s="830"/>
      <c r="BF62" s="849">
        <v>0.18965517241379312</v>
      </c>
      <c r="BG62" s="849">
        <v>0.17701149425287357</v>
      </c>
      <c r="BH62" s="850">
        <v>520</v>
      </c>
      <c r="BI62" s="849">
        <v>8.2965517241379311E-3</v>
      </c>
      <c r="BJ62" s="849">
        <v>0.19911724137931036</v>
      </c>
      <c r="BK62" s="960">
        <v>0</v>
      </c>
      <c r="BL62" s="1071">
        <v>100</v>
      </c>
      <c r="BN62" s="807">
        <v>0.55000000000000004</v>
      </c>
    </row>
    <row r="63" spans="1:66" x14ac:dyDescent="0.2">
      <c r="A63" s="891" t="s">
        <v>825</v>
      </c>
      <c r="B63" s="891" t="s">
        <v>826</v>
      </c>
      <c r="C63" s="902" t="s">
        <v>700</v>
      </c>
      <c r="D63" s="902" t="s">
        <v>797</v>
      </c>
      <c r="E63" s="902">
        <v>7</v>
      </c>
      <c r="F63" s="902">
        <v>3</v>
      </c>
      <c r="G63" s="902">
        <v>1</v>
      </c>
      <c r="H63" s="902">
        <v>5</v>
      </c>
      <c r="I63" s="947"/>
      <c r="J63" s="948" t="s">
        <v>730</v>
      </c>
      <c r="K63" s="949">
        <v>16</v>
      </c>
      <c r="L63" s="950">
        <v>4.6000000000000005</v>
      </c>
      <c r="M63" s="961">
        <v>1.4000000000000001</v>
      </c>
      <c r="N63" s="951">
        <v>0.61108686163247505</v>
      </c>
      <c r="O63" s="952">
        <v>5</v>
      </c>
      <c r="P63" s="952">
        <v>4.1493775933609953</v>
      </c>
      <c r="Q63" s="953">
        <v>0</v>
      </c>
      <c r="R63" s="954">
        <v>0</v>
      </c>
      <c r="S63" s="954">
        <v>0</v>
      </c>
      <c r="T63" s="954">
        <v>0</v>
      </c>
      <c r="U63" s="954">
        <v>0</v>
      </c>
      <c r="V63" s="953">
        <v>0.46</v>
      </c>
      <c r="W63" s="954">
        <v>0.14000000000000001</v>
      </c>
      <c r="X63" s="954">
        <v>6.1108686163247501E-2</v>
      </c>
      <c r="Y63" s="954">
        <v>0.5</v>
      </c>
      <c r="Z63" s="954">
        <v>0.41493775933609955</v>
      </c>
      <c r="AA63" s="955"/>
      <c r="AB63" s="956">
        <v>150</v>
      </c>
      <c r="AC63" s="957">
        <v>0.19</v>
      </c>
      <c r="AD63" s="958"/>
      <c r="AE63" s="959"/>
      <c r="AF63" s="959" t="s">
        <v>377</v>
      </c>
      <c r="AG63" s="833">
        <v>2865</v>
      </c>
      <c r="AH63" s="834" t="s">
        <v>811</v>
      </c>
      <c r="AI63" s="833">
        <v>350</v>
      </c>
      <c r="AJ63" s="931">
        <v>130</v>
      </c>
      <c r="AK63" s="931">
        <v>165</v>
      </c>
      <c r="AL63" s="931">
        <v>31</v>
      </c>
      <c r="AM63" s="931">
        <v>260</v>
      </c>
      <c r="AN63" s="931">
        <v>0</v>
      </c>
      <c r="AO63" s="931">
        <v>30</v>
      </c>
      <c r="AP63" s="931">
        <v>414</v>
      </c>
      <c r="AQ63" s="962">
        <v>68.3</v>
      </c>
      <c r="AR63" s="933">
        <v>71</v>
      </c>
      <c r="AS63" s="933">
        <v>64.900000000000006</v>
      </c>
      <c r="AT63" s="963">
        <v>72.599999999999994</v>
      </c>
      <c r="AU63" s="828">
        <v>485.16399999999993</v>
      </c>
      <c r="AV63" s="1009">
        <v>0.87</v>
      </c>
      <c r="AW63" s="964">
        <v>90.674137931034466</v>
      </c>
      <c r="AX63" s="964">
        <v>28.9066091954023</v>
      </c>
      <c r="AY63" s="964">
        <v>440.55121839080454</v>
      </c>
      <c r="AZ63" s="964">
        <v>560.13196551724127</v>
      </c>
      <c r="BA63" s="1016">
        <v>560.13196551724127</v>
      </c>
      <c r="BB63" s="965">
        <v>170.56018349999999</v>
      </c>
      <c r="BC63" s="1025">
        <v>0.5432840118280009</v>
      </c>
      <c r="BD63" s="829"/>
      <c r="BE63" s="830"/>
      <c r="BF63" s="849">
        <v>0.18965517241379312</v>
      </c>
      <c r="BG63" s="849">
        <v>0.17701149425287357</v>
      </c>
      <c r="BH63" s="850">
        <v>520</v>
      </c>
      <c r="BI63" s="849">
        <v>8.2965517241379311E-3</v>
      </c>
      <c r="BJ63" s="849">
        <v>0.19911724137931036</v>
      </c>
      <c r="BK63" s="960">
        <v>0</v>
      </c>
      <c r="BL63" s="1071">
        <v>100</v>
      </c>
      <c r="BN63" s="807">
        <v>0.55000000000000004</v>
      </c>
    </row>
    <row r="64" spans="1:66" x14ac:dyDescent="0.2">
      <c r="A64" s="891" t="s">
        <v>827</v>
      </c>
      <c r="B64" s="891" t="s">
        <v>828</v>
      </c>
      <c r="C64" s="902" t="s">
        <v>700</v>
      </c>
      <c r="D64" s="902" t="s">
        <v>797</v>
      </c>
      <c r="E64" s="902">
        <v>7</v>
      </c>
      <c r="F64" s="902">
        <v>3</v>
      </c>
      <c r="G64" s="902">
        <v>1</v>
      </c>
      <c r="H64" s="902">
        <v>5</v>
      </c>
      <c r="I64" s="947"/>
      <c r="J64" s="948" t="s">
        <v>730</v>
      </c>
      <c r="K64" s="949">
        <v>16</v>
      </c>
      <c r="L64" s="950">
        <v>4.6000000000000005</v>
      </c>
      <c r="M64" s="951">
        <v>1.4000000000000001</v>
      </c>
      <c r="N64" s="951">
        <v>0.61108686163247505</v>
      </c>
      <c r="O64" s="952">
        <v>5</v>
      </c>
      <c r="P64" s="952">
        <v>4.1493775933609953</v>
      </c>
      <c r="Q64" s="953">
        <v>0</v>
      </c>
      <c r="R64" s="954">
        <v>0</v>
      </c>
      <c r="S64" s="954">
        <v>0</v>
      </c>
      <c r="T64" s="954">
        <v>0</v>
      </c>
      <c r="U64" s="954">
        <v>0</v>
      </c>
      <c r="V64" s="953">
        <v>0.46</v>
      </c>
      <c r="W64" s="954">
        <v>0.14000000000000001</v>
      </c>
      <c r="X64" s="954">
        <v>6.1108686163247501E-2</v>
      </c>
      <c r="Y64" s="954">
        <v>0.5</v>
      </c>
      <c r="Z64" s="954">
        <v>0.41493775933609955</v>
      </c>
      <c r="AA64" s="955"/>
      <c r="AB64" s="956">
        <v>150</v>
      </c>
      <c r="AC64" s="957">
        <v>0.38</v>
      </c>
      <c r="AD64" s="958"/>
      <c r="AE64" s="959"/>
      <c r="AF64" s="959" t="s">
        <v>377</v>
      </c>
      <c r="AG64" s="833">
        <v>2865</v>
      </c>
      <c r="AH64" s="834" t="s">
        <v>811</v>
      </c>
      <c r="AI64" s="833">
        <v>350</v>
      </c>
      <c r="AJ64" s="931">
        <v>130</v>
      </c>
      <c r="AK64" s="931">
        <v>165</v>
      </c>
      <c r="AL64" s="931">
        <v>31</v>
      </c>
      <c r="AM64" s="931">
        <v>260</v>
      </c>
      <c r="AN64" s="931">
        <v>0</v>
      </c>
      <c r="AO64" s="931">
        <v>30</v>
      </c>
      <c r="AP64" s="931">
        <v>414</v>
      </c>
      <c r="AQ64" s="962">
        <v>68.3</v>
      </c>
      <c r="AR64" s="933">
        <v>71</v>
      </c>
      <c r="AS64" s="933">
        <v>64.900000000000006</v>
      </c>
      <c r="AT64" s="963">
        <v>72.599999999999994</v>
      </c>
      <c r="AU64" s="828">
        <v>485.16399999999993</v>
      </c>
      <c r="AV64" s="1009">
        <v>0.87</v>
      </c>
      <c r="AW64" s="964">
        <v>90.674137931034466</v>
      </c>
      <c r="AX64" s="964">
        <v>28.9066091954023</v>
      </c>
      <c r="AY64" s="964">
        <v>440.55121839080454</v>
      </c>
      <c r="AZ64" s="964">
        <v>560.13196551724127</v>
      </c>
      <c r="BA64" s="1016">
        <v>560.13196551724127</v>
      </c>
      <c r="BB64" s="965">
        <v>170.56018349999999</v>
      </c>
      <c r="BC64" s="1025">
        <v>0.5432840118280009</v>
      </c>
      <c r="BD64" s="966"/>
      <c r="BE64" s="830"/>
      <c r="BF64" s="849">
        <v>0.18965517241379312</v>
      </c>
      <c r="BG64" s="849">
        <v>0.17701149425287357</v>
      </c>
      <c r="BH64" s="850">
        <v>520</v>
      </c>
      <c r="BI64" s="849">
        <v>8.2965517241379311E-3</v>
      </c>
      <c r="BJ64" s="849">
        <v>0.19911724137931036</v>
      </c>
      <c r="BK64" s="960">
        <v>0</v>
      </c>
      <c r="BL64" s="1071">
        <v>100</v>
      </c>
      <c r="BN64" s="807">
        <v>0.55000000000000004</v>
      </c>
    </row>
    <row r="65" spans="1:66" ht="13.5" thickBot="1" x14ac:dyDescent="0.25">
      <c r="A65" s="891"/>
      <c r="B65" s="891"/>
      <c r="C65" s="902"/>
      <c r="D65" s="902"/>
      <c r="E65" s="902"/>
      <c r="F65" s="902"/>
      <c r="G65" s="902"/>
      <c r="H65" s="902"/>
      <c r="I65" s="947"/>
      <c r="J65" s="948"/>
      <c r="K65" s="949"/>
      <c r="L65" s="950"/>
      <c r="M65" s="951"/>
      <c r="N65" s="951"/>
      <c r="O65" s="952"/>
      <c r="P65" s="952"/>
      <c r="Q65" s="953"/>
      <c r="R65" s="954"/>
      <c r="S65" s="954"/>
      <c r="T65" s="954"/>
      <c r="U65" s="954"/>
      <c r="V65" s="953"/>
      <c r="W65" s="954"/>
      <c r="X65" s="954"/>
      <c r="Y65" s="954"/>
      <c r="Z65" s="954"/>
      <c r="AA65" s="955"/>
      <c r="AB65" s="1028"/>
      <c r="AC65" s="957"/>
      <c r="AD65" s="958"/>
      <c r="AE65" s="959"/>
      <c r="AF65" s="949"/>
      <c r="AG65" s="897"/>
      <c r="AH65" s="1029"/>
      <c r="AI65" s="897"/>
      <c r="AJ65" s="931"/>
      <c r="AK65" s="931"/>
      <c r="AL65" s="931"/>
      <c r="AM65" s="931"/>
      <c r="AN65" s="931"/>
      <c r="AO65" s="931"/>
      <c r="AP65" s="931"/>
      <c r="AQ65" s="962"/>
      <c r="AR65" s="933"/>
      <c r="AS65" s="933"/>
      <c r="AT65" s="963"/>
      <c r="AU65" s="828"/>
      <c r="AV65" s="1009"/>
      <c r="AW65" s="964"/>
      <c r="AX65" s="964"/>
      <c r="AY65" s="964"/>
      <c r="AZ65" s="964"/>
      <c r="BA65" s="1020"/>
      <c r="BB65" s="965"/>
      <c r="BC65" s="1025"/>
      <c r="BD65" s="966"/>
      <c r="BE65" s="830"/>
      <c r="BF65" s="849"/>
      <c r="BG65" s="849"/>
      <c r="BH65" s="850"/>
      <c r="BI65" s="849"/>
      <c r="BJ65" s="849"/>
      <c r="BK65" s="960"/>
      <c r="BL65" s="1071">
        <v>100</v>
      </c>
      <c r="BN65" s="807">
        <v>0.55000000000000004</v>
      </c>
    </row>
    <row r="66" spans="1:66" x14ac:dyDescent="0.2">
      <c r="A66" s="973" t="s">
        <v>829</v>
      </c>
      <c r="B66" s="973" t="s">
        <v>830</v>
      </c>
      <c r="C66" s="784" t="s">
        <v>831</v>
      </c>
      <c r="D66" s="900"/>
      <c r="E66" s="784">
        <v>13</v>
      </c>
      <c r="F66" s="784"/>
      <c r="G66" s="784"/>
      <c r="H66" s="784">
        <v>6</v>
      </c>
      <c r="I66" s="900"/>
      <c r="J66" s="974"/>
      <c r="K66" s="975"/>
      <c r="L66" s="968"/>
      <c r="M66" s="969"/>
      <c r="N66" s="969"/>
      <c r="O66" s="969"/>
      <c r="P66" s="969"/>
      <c r="Q66" s="976"/>
      <c r="R66" s="977"/>
      <c r="S66" s="977"/>
      <c r="T66" s="977"/>
      <c r="U66" s="977"/>
      <c r="V66" s="976"/>
      <c r="W66" s="977"/>
      <c r="X66" s="977"/>
      <c r="Y66" s="977"/>
      <c r="Z66" s="977"/>
      <c r="AA66" s="967"/>
      <c r="AB66" s="978" t="s">
        <v>832</v>
      </c>
      <c r="AC66" s="979"/>
      <c r="AD66" s="979"/>
      <c r="AE66" s="980"/>
      <c r="AF66" s="798"/>
      <c r="AG66" s="728"/>
      <c r="AH66" s="728"/>
      <c r="AI66" s="981"/>
      <c r="AJ66" s="723"/>
      <c r="AK66" s="723"/>
      <c r="AL66" s="723"/>
      <c r="AM66" s="723"/>
      <c r="AN66" s="723"/>
      <c r="AO66" s="723"/>
      <c r="AP66" s="723"/>
      <c r="AQ66" s="795"/>
      <c r="AR66" s="796"/>
      <c r="AS66" s="796"/>
      <c r="AT66" s="797"/>
      <c r="AU66" s="723"/>
      <c r="AV66" s="1001"/>
      <c r="AW66" s="723"/>
      <c r="AX66" s="723"/>
      <c r="AY66" s="723"/>
      <c r="AZ66" s="723"/>
      <c r="BA66" s="1014"/>
      <c r="BB66" s="797"/>
      <c r="BC66" s="1027"/>
      <c r="BD66" s="795"/>
      <c r="BE66" s="798"/>
      <c r="BF66" s="728"/>
      <c r="BG66" s="728"/>
      <c r="BH66" s="728"/>
      <c r="BI66" s="728"/>
      <c r="BJ66" s="728"/>
      <c r="BK66" s="784">
        <v>0</v>
      </c>
      <c r="BL66" s="1071">
        <v>100</v>
      </c>
      <c r="BN66" s="807">
        <v>0.55000000000000004</v>
      </c>
    </row>
    <row r="67" spans="1:66" x14ac:dyDescent="0.2">
      <c r="A67" s="985" t="s">
        <v>833</v>
      </c>
      <c r="B67" s="985" t="s">
        <v>834</v>
      </c>
      <c r="C67" s="784" t="s">
        <v>831</v>
      </c>
      <c r="D67" s="784" t="s">
        <v>830</v>
      </c>
      <c r="E67" s="784">
        <v>13</v>
      </c>
      <c r="F67" s="784">
        <v>3</v>
      </c>
      <c r="G67" s="784">
        <v>1</v>
      </c>
      <c r="H67" s="784">
        <v>6</v>
      </c>
      <c r="I67" s="900"/>
      <c r="J67" s="986"/>
      <c r="K67" s="897">
        <v>100</v>
      </c>
      <c r="L67" s="987">
        <v>18.240000000000002</v>
      </c>
      <c r="M67" s="988">
        <v>6.5</v>
      </c>
      <c r="N67" s="988">
        <v>2.9</v>
      </c>
      <c r="O67" s="928">
        <v>24.1</v>
      </c>
      <c r="P67" s="928">
        <v>20</v>
      </c>
      <c r="Q67" s="936">
        <v>0</v>
      </c>
      <c r="R67" s="937">
        <v>0</v>
      </c>
      <c r="S67" s="937">
        <v>0</v>
      </c>
      <c r="T67" s="937">
        <v>0</v>
      </c>
      <c r="U67" s="937">
        <v>0</v>
      </c>
      <c r="V67" s="936">
        <v>1.8240000000000001</v>
      </c>
      <c r="W67" s="937">
        <v>0.65</v>
      </c>
      <c r="X67" s="937">
        <v>0.28999999999999998</v>
      </c>
      <c r="Y67" s="937">
        <v>2.41</v>
      </c>
      <c r="Z67" s="937">
        <v>2</v>
      </c>
      <c r="AA67" s="971">
        <v>11.4</v>
      </c>
      <c r="AB67" s="896">
        <v>46.75</v>
      </c>
      <c r="AC67" s="983"/>
      <c r="AD67" s="983"/>
      <c r="AE67" s="989"/>
      <c r="AF67" s="990" t="s">
        <v>377</v>
      </c>
      <c r="AG67" s="831">
        <v>2026</v>
      </c>
      <c r="AH67" s="984" t="s">
        <v>835</v>
      </c>
      <c r="AI67" s="972">
        <v>350</v>
      </c>
      <c r="AJ67" s="828">
        <v>107</v>
      </c>
      <c r="AK67" s="828">
        <v>160</v>
      </c>
      <c r="AL67" s="828">
        <v>37</v>
      </c>
      <c r="AM67" s="828">
        <v>258</v>
      </c>
      <c r="AN67" s="828">
        <v>0</v>
      </c>
      <c r="AO67" s="828">
        <v>15</v>
      </c>
      <c r="AP67" s="828">
        <v>438</v>
      </c>
      <c r="AQ67" s="829">
        <v>65.900000000000006</v>
      </c>
      <c r="AR67" s="835">
        <v>72.2</v>
      </c>
      <c r="AS67" s="835">
        <v>59.36</v>
      </c>
      <c r="AT67" s="830">
        <v>69.180000000000007</v>
      </c>
      <c r="AU67" s="828">
        <v>489.28440000000001</v>
      </c>
      <c r="AV67" s="1010">
        <v>0.89300000000000002</v>
      </c>
      <c r="AW67" s="828">
        <v>82.651735722284442</v>
      </c>
      <c r="AX67" s="828">
        <v>30.74356103023516</v>
      </c>
      <c r="AY67" s="828">
        <v>432.84958118701007</v>
      </c>
      <c r="AZ67" s="828">
        <v>546.24487793952972</v>
      </c>
      <c r="BA67" s="829">
        <v>546.20000000000005</v>
      </c>
      <c r="BB67" s="830"/>
      <c r="BC67" s="1178">
        <v>0.54191321860124486</v>
      </c>
      <c r="BD67" s="829"/>
      <c r="BE67" s="830"/>
      <c r="BF67" s="1178"/>
      <c r="BG67" s="836"/>
      <c r="BH67" s="836"/>
      <c r="BI67" s="836"/>
      <c r="BJ67" s="836"/>
      <c r="BK67" s="784">
        <v>0</v>
      </c>
      <c r="BL67" s="1071">
        <v>100</v>
      </c>
      <c r="BN67" s="807">
        <v>0.55000000000000004</v>
      </c>
    </row>
    <row r="68" spans="1:66" x14ac:dyDescent="0.2">
      <c r="A68" s="985" t="s">
        <v>836</v>
      </c>
      <c r="B68" s="985" t="s">
        <v>837</v>
      </c>
      <c r="C68" s="784" t="s">
        <v>831</v>
      </c>
      <c r="D68" s="784" t="s">
        <v>830</v>
      </c>
      <c r="E68" s="784">
        <v>13</v>
      </c>
      <c r="F68" s="784">
        <v>3</v>
      </c>
      <c r="G68" s="784">
        <v>1</v>
      </c>
      <c r="H68" s="784">
        <v>6</v>
      </c>
      <c r="I68" s="900"/>
      <c r="J68" s="986"/>
      <c r="K68" s="897">
        <v>100</v>
      </c>
      <c r="L68" s="987">
        <v>24</v>
      </c>
      <c r="M68" s="988">
        <v>7.1</v>
      </c>
      <c r="N68" s="988">
        <v>3.1</v>
      </c>
      <c r="O68" s="928">
        <v>28.900000000000002</v>
      </c>
      <c r="P68" s="928">
        <v>23.983402489626556</v>
      </c>
      <c r="Q68" s="936">
        <v>0</v>
      </c>
      <c r="R68" s="937">
        <v>0</v>
      </c>
      <c r="S68" s="937">
        <v>0</v>
      </c>
      <c r="T68" s="937">
        <v>0</v>
      </c>
      <c r="U68" s="937">
        <v>0</v>
      </c>
      <c r="V68" s="936">
        <v>2.4</v>
      </c>
      <c r="W68" s="937">
        <v>0.71</v>
      </c>
      <c r="X68" s="937">
        <v>0.31</v>
      </c>
      <c r="Y68" s="937">
        <v>2.89</v>
      </c>
      <c r="Z68" s="937">
        <v>2.3983402489626555</v>
      </c>
      <c r="AA68" s="971">
        <v>15</v>
      </c>
      <c r="AB68" s="896">
        <v>68</v>
      </c>
      <c r="AC68" s="983"/>
      <c r="AD68" s="983"/>
      <c r="AE68" s="989"/>
      <c r="AF68" s="990" t="s">
        <v>377</v>
      </c>
      <c r="AG68" s="831">
        <v>2028</v>
      </c>
      <c r="AH68" s="984" t="s">
        <v>838</v>
      </c>
      <c r="AI68" s="972">
        <v>350</v>
      </c>
      <c r="AJ68" s="828">
        <v>115</v>
      </c>
      <c r="AK68" s="828">
        <v>170</v>
      </c>
      <c r="AL68" s="828">
        <v>40</v>
      </c>
      <c r="AM68" s="828">
        <v>240</v>
      </c>
      <c r="AN68" s="828">
        <v>0</v>
      </c>
      <c r="AO68" s="828">
        <v>18</v>
      </c>
      <c r="AP68" s="828">
        <v>435</v>
      </c>
      <c r="AQ68" s="829">
        <v>68.92</v>
      </c>
      <c r="AR68" s="835">
        <v>74.010000000000005</v>
      </c>
      <c r="AS68" s="835">
        <v>59.22</v>
      </c>
      <c r="AT68" s="830">
        <v>70.89</v>
      </c>
      <c r="AU68" s="828">
        <v>485.99550000000005</v>
      </c>
      <c r="AV68" s="1010">
        <v>0.88500000000000001</v>
      </c>
      <c r="AW68" s="828">
        <v>92.67209039548024</v>
      </c>
      <c r="AX68" s="828">
        <v>33.457627118644062</v>
      </c>
      <c r="AY68" s="828">
        <v>433.82649152542371</v>
      </c>
      <c r="AZ68" s="828">
        <v>559.95620903954796</v>
      </c>
      <c r="BA68" s="829">
        <v>560</v>
      </c>
      <c r="BB68" s="830"/>
      <c r="BC68" s="1178">
        <v>0.54553035714285714</v>
      </c>
      <c r="BD68" s="829"/>
      <c r="BE68" s="830"/>
      <c r="BF68" s="1178"/>
      <c r="BG68" s="836"/>
      <c r="BH68" s="836"/>
      <c r="BI68" s="836"/>
      <c r="BJ68" s="836"/>
      <c r="BK68" s="784">
        <v>0</v>
      </c>
      <c r="BL68" s="1071">
        <v>100</v>
      </c>
      <c r="BN68" s="807">
        <v>0.55000000000000004</v>
      </c>
    </row>
    <row r="69" spans="1:66" x14ac:dyDescent="0.2">
      <c r="A69" s="985" t="s">
        <v>839</v>
      </c>
      <c r="B69" s="985" t="s">
        <v>840</v>
      </c>
      <c r="C69" s="784" t="s">
        <v>831</v>
      </c>
      <c r="D69" s="784" t="s">
        <v>830</v>
      </c>
      <c r="E69" s="784">
        <v>13</v>
      </c>
      <c r="F69" s="784">
        <v>3</v>
      </c>
      <c r="G69" s="784">
        <v>1</v>
      </c>
      <c r="H69" s="784">
        <v>6</v>
      </c>
      <c r="I69" s="900"/>
      <c r="J69" s="986"/>
      <c r="K69" s="897">
        <v>100</v>
      </c>
      <c r="L69" s="987">
        <v>27.200000000000003</v>
      </c>
      <c r="M69" s="988">
        <v>8.1000000000000014</v>
      </c>
      <c r="N69" s="988">
        <v>3.5999999999999996</v>
      </c>
      <c r="O69" s="928">
        <v>31.299999999999997</v>
      </c>
      <c r="P69" s="928">
        <v>25.975103734439831</v>
      </c>
      <c r="Q69" s="936">
        <v>0</v>
      </c>
      <c r="R69" s="937">
        <v>0</v>
      </c>
      <c r="S69" s="937">
        <v>0</v>
      </c>
      <c r="T69" s="937">
        <v>0</v>
      </c>
      <c r="U69" s="937">
        <v>0</v>
      </c>
      <c r="V69" s="936">
        <v>2.72</v>
      </c>
      <c r="W69" s="937">
        <v>0.81</v>
      </c>
      <c r="X69" s="937">
        <v>0.36</v>
      </c>
      <c r="Y69" s="937">
        <v>3.13</v>
      </c>
      <c r="Z69" s="937">
        <v>2.5975103734439831</v>
      </c>
      <c r="AA69" s="971">
        <v>17</v>
      </c>
      <c r="AB69" s="896">
        <v>76.5</v>
      </c>
      <c r="AC69" s="983"/>
      <c r="AD69" s="983"/>
      <c r="AE69" s="989"/>
      <c r="AF69" s="990" t="s">
        <v>377</v>
      </c>
      <c r="AG69" s="831">
        <v>2010</v>
      </c>
      <c r="AH69" s="984" t="s">
        <v>841</v>
      </c>
      <c r="AI69" s="972">
        <v>350</v>
      </c>
      <c r="AJ69" s="828">
        <v>108</v>
      </c>
      <c r="AK69" s="828">
        <v>165</v>
      </c>
      <c r="AL69" s="828">
        <v>38</v>
      </c>
      <c r="AM69" s="828">
        <v>256</v>
      </c>
      <c r="AN69" s="828">
        <v>0</v>
      </c>
      <c r="AO69" s="828">
        <v>15</v>
      </c>
      <c r="AP69" s="828">
        <v>433</v>
      </c>
      <c r="AQ69" s="829">
        <v>69.66</v>
      </c>
      <c r="AR69" s="835">
        <v>74.91</v>
      </c>
      <c r="AS69" s="835">
        <v>66.92</v>
      </c>
      <c r="AT69" s="830">
        <v>73</v>
      </c>
      <c r="AU69" s="828">
        <v>507.8596</v>
      </c>
      <c r="AV69" s="1010">
        <v>0.89200000000000002</v>
      </c>
      <c r="AW69" s="828">
        <v>90.19876681614349</v>
      </c>
      <c r="AX69" s="828">
        <v>35.635650224215247</v>
      </c>
      <c r="AY69" s="828">
        <v>449.78596860986539</v>
      </c>
      <c r="AZ69" s="828">
        <v>575.62038565022408</v>
      </c>
      <c r="BA69" s="829">
        <v>575.6</v>
      </c>
      <c r="BB69" s="830"/>
      <c r="BC69" s="1178">
        <v>0.544041000694927</v>
      </c>
      <c r="BD69" s="829"/>
      <c r="BE69" s="830"/>
      <c r="BF69" s="1178"/>
      <c r="BG69" s="836"/>
      <c r="BH69" s="836"/>
      <c r="BI69" s="836"/>
      <c r="BJ69" s="836"/>
      <c r="BK69" s="784">
        <v>0</v>
      </c>
      <c r="BL69" s="1071">
        <v>100</v>
      </c>
      <c r="BN69" s="807">
        <v>0.55000000000000004</v>
      </c>
    </row>
    <row r="70" spans="1:66" x14ac:dyDescent="0.2">
      <c r="A70" s="985" t="s">
        <v>842</v>
      </c>
      <c r="B70" s="985" t="s">
        <v>843</v>
      </c>
      <c r="C70" s="784" t="s">
        <v>831</v>
      </c>
      <c r="D70" s="784" t="s">
        <v>830</v>
      </c>
      <c r="E70" s="784">
        <v>13</v>
      </c>
      <c r="F70" s="784">
        <v>3</v>
      </c>
      <c r="G70" s="784">
        <v>1</v>
      </c>
      <c r="H70" s="784">
        <v>6</v>
      </c>
      <c r="I70" s="900"/>
      <c r="J70" s="986"/>
      <c r="K70" s="897">
        <v>100</v>
      </c>
      <c r="L70" s="987">
        <v>28</v>
      </c>
      <c r="M70" s="988">
        <v>8.6999999999999993</v>
      </c>
      <c r="N70" s="991">
        <v>3.8</v>
      </c>
      <c r="O70" s="928">
        <v>32.5</v>
      </c>
      <c r="P70" s="928">
        <v>26.97095435684647</v>
      </c>
      <c r="Q70" s="936">
        <v>0</v>
      </c>
      <c r="R70" s="937">
        <v>0</v>
      </c>
      <c r="S70" s="937">
        <v>0</v>
      </c>
      <c r="T70" s="937">
        <v>0</v>
      </c>
      <c r="U70" s="937">
        <v>0</v>
      </c>
      <c r="V70" s="936">
        <v>2.8</v>
      </c>
      <c r="W70" s="937">
        <v>0.87</v>
      </c>
      <c r="X70" s="937">
        <v>0.38</v>
      </c>
      <c r="Y70" s="937">
        <v>3.25</v>
      </c>
      <c r="Z70" s="937">
        <v>2.697095435684647</v>
      </c>
      <c r="AA70" s="971">
        <v>17.5</v>
      </c>
      <c r="AB70" s="896">
        <v>93.5</v>
      </c>
      <c r="AC70" s="983"/>
      <c r="AD70" s="983"/>
      <c r="AE70" s="989"/>
      <c r="AF70" s="990" t="s">
        <v>377</v>
      </c>
      <c r="AG70" s="831">
        <v>2010</v>
      </c>
      <c r="AH70" s="984" t="s">
        <v>841</v>
      </c>
      <c r="AI70" s="972">
        <v>350</v>
      </c>
      <c r="AJ70" s="828">
        <v>108</v>
      </c>
      <c r="AK70" s="828">
        <v>165</v>
      </c>
      <c r="AL70" s="828">
        <v>38</v>
      </c>
      <c r="AM70" s="828">
        <v>256</v>
      </c>
      <c r="AN70" s="828">
        <v>0</v>
      </c>
      <c r="AO70" s="828">
        <v>15</v>
      </c>
      <c r="AP70" s="828">
        <v>433</v>
      </c>
      <c r="AQ70" s="829">
        <v>69.66</v>
      </c>
      <c r="AR70" s="835">
        <v>74.91</v>
      </c>
      <c r="AS70" s="835">
        <v>66.92</v>
      </c>
      <c r="AT70" s="830">
        <v>73</v>
      </c>
      <c r="AU70" s="828">
        <v>507.8596</v>
      </c>
      <c r="AV70" s="1010">
        <v>0.89200000000000002</v>
      </c>
      <c r="AW70" s="828">
        <v>90.19876681614349</v>
      </c>
      <c r="AX70" s="828">
        <v>35.635650224215247</v>
      </c>
      <c r="AY70" s="828">
        <v>449.78596860986539</v>
      </c>
      <c r="AZ70" s="828">
        <v>575.62038565022408</v>
      </c>
      <c r="BA70" s="829">
        <v>575.6</v>
      </c>
      <c r="BB70" s="830"/>
      <c r="BC70" s="1178">
        <v>0.544041000694927</v>
      </c>
      <c r="BD70" s="829"/>
      <c r="BE70" s="830"/>
      <c r="BF70" s="1178"/>
      <c r="BG70" s="836"/>
      <c r="BH70" s="836"/>
      <c r="BI70" s="836"/>
      <c r="BJ70" s="836"/>
      <c r="BK70" s="784">
        <v>0</v>
      </c>
      <c r="BL70" s="1071">
        <v>100</v>
      </c>
      <c r="BN70" s="807">
        <v>0.55000000000000004</v>
      </c>
    </row>
    <row r="71" spans="1:66" x14ac:dyDescent="0.2">
      <c r="A71" s="985" t="s">
        <v>844</v>
      </c>
      <c r="B71" s="985" t="s">
        <v>845</v>
      </c>
      <c r="C71" s="784" t="s">
        <v>831</v>
      </c>
      <c r="D71" s="784" t="s">
        <v>830</v>
      </c>
      <c r="E71" s="784">
        <v>13</v>
      </c>
      <c r="F71" s="784">
        <v>3</v>
      </c>
      <c r="G71" s="784">
        <v>1</v>
      </c>
      <c r="H71" s="784">
        <v>6</v>
      </c>
      <c r="I71" s="900"/>
      <c r="J71" s="986"/>
      <c r="K71" s="897">
        <v>100</v>
      </c>
      <c r="L71" s="935">
        <v>29.119999999999997</v>
      </c>
      <c r="M71" s="928">
        <v>8.9</v>
      </c>
      <c r="N71" s="928">
        <v>3.8847664775207336</v>
      </c>
      <c r="O71" s="928">
        <v>33.700000000000003</v>
      </c>
      <c r="P71" s="928">
        <v>27.966804979253112</v>
      </c>
      <c r="Q71" s="936">
        <v>0</v>
      </c>
      <c r="R71" s="937">
        <v>0</v>
      </c>
      <c r="S71" s="937">
        <v>0</v>
      </c>
      <c r="T71" s="937">
        <v>0</v>
      </c>
      <c r="U71" s="937">
        <v>0</v>
      </c>
      <c r="V71" s="936">
        <v>2.9119999999999999</v>
      </c>
      <c r="W71" s="937">
        <v>0.89</v>
      </c>
      <c r="X71" s="937">
        <v>0.38847664775207336</v>
      </c>
      <c r="Y71" s="937">
        <v>3.37</v>
      </c>
      <c r="Z71" s="937">
        <v>2.796680497925311</v>
      </c>
      <c r="AA71" s="971">
        <v>18.2</v>
      </c>
      <c r="AB71" s="896">
        <v>102</v>
      </c>
      <c r="AC71" s="983"/>
      <c r="AD71" s="983"/>
      <c r="AE71" s="989"/>
      <c r="AF71" s="794" t="s">
        <v>377</v>
      </c>
      <c r="AG71" s="794">
        <v>2010</v>
      </c>
      <c r="AH71" s="834" t="s">
        <v>841</v>
      </c>
      <c r="AI71" s="992">
        <v>350</v>
      </c>
      <c r="AJ71" s="828">
        <v>108</v>
      </c>
      <c r="AK71" s="828">
        <v>165</v>
      </c>
      <c r="AL71" s="828">
        <v>38</v>
      </c>
      <c r="AM71" s="828">
        <v>256</v>
      </c>
      <c r="AN71" s="828">
        <v>0</v>
      </c>
      <c r="AO71" s="828">
        <v>15</v>
      </c>
      <c r="AP71" s="828">
        <v>433</v>
      </c>
      <c r="AQ71" s="829">
        <v>69.66</v>
      </c>
      <c r="AR71" s="835">
        <v>74.91</v>
      </c>
      <c r="AS71" s="835">
        <v>66.92</v>
      </c>
      <c r="AT71" s="830">
        <v>73</v>
      </c>
      <c r="AU71" s="828">
        <v>507.8596</v>
      </c>
      <c r="AV71" s="1010">
        <v>0.89200000000000002</v>
      </c>
      <c r="AW71" s="828">
        <v>90.19876681614349</v>
      </c>
      <c r="AX71" s="828">
        <v>35.635650224215247</v>
      </c>
      <c r="AY71" s="828">
        <v>449.78596860986539</v>
      </c>
      <c r="AZ71" s="828">
        <v>575.62038565022408</v>
      </c>
      <c r="BA71" s="829">
        <v>575.6</v>
      </c>
      <c r="BB71" s="830"/>
      <c r="BC71" s="1178">
        <v>0.544041000694927</v>
      </c>
      <c r="BD71" s="829"/>
      <c r="BE71" s="830"/>
      <c r="BF71" s="1178"/>
      <c r="BG71" s="836"/>
      <c r="BH71" s="836"/>
      <c r="BI71" s="836"/>
      <c r="BJ71" s="836"/>
      <c r="BK71" s="784">
        <v>0</v>
      </c>
      <c r="BL71" s="1071">
        <v>100</v>
      </c>
      <c r="BN71" s="807">
        <v>0.55000000000000004</v>
      </c>
    </row>
    <row r="72" spans="1:66" ht="13.5" thickBot="1" x14ac:dyDescent="0.25">
      <c r="BL72" s="1071">
        <v>100</v>
      </c>
      <c r="BN72" s="807">
        <v>0.6</v>
      </c>
    </row>
    <row r="73" spans="1:66" ht="15" thickBot="1" x14ac:dyDescent="0.3">
      <c r="A73" s="973" t="s">
        <v>973</v>
      </c>
      <c r="B73" s="144"/>
      <c r="C73" s="145"/>
      <c r="D73" s="145"/>
      <c r="E73" s="1111"/>
      <c r="K73" s="146" t="s">
        <v>2</v>
      </c>
      <c r="L73" s="147" t="s">
        <v>226</v>
      </c>
      <c r="M73" s="1165" t="s">
        <v>987</v>
      </c>
      <c r="N73" s="1165"/>
      <c r="O73" s="1165" t="s">
        <v>988</v>
      </c>
      <c r="BL73" s="1071">
        <v>100</v>
      </c>
      <c r="BM73">
        <v>1</v>
      </c>
      <c r="BN73" s="807">
        <v>0.6</v>
      </c>
    </row>
    <row r="74" spans="1:66" x14ac:dyDescent="0.2">
      <c r="A74" s="135" t="s">
        <v>1011</v>
      </c>
      <c r="B74" s="148"/>
      <c r="C74" s="149"/>
      <c r="D74" s="149"/>
      <c r="E74" s="150"/>
      <c r="K74" s="151"/>
      <c r="L74" s="152"/>
      <c r="M74" s="1166"/>
      <c r="N74" s="1166"/>
      <c r="O74" s="1166"/>
      <c r="BL74" s="1071">
        <v>100</v>
      </c>
      <c r="BM74">
        <v>1</v>
      </c>
      <c r="BN74" s="807">
        <v>0.6</v>
      </c>
    </row>
    <row r="75" spans="1:66" ht="14.25" x14ac:dyDescent="0.2">
      <c r="A75" s="159" t="s">
        <v>1064</v>
      </c>
      <c r="C75" s="155">
        <v>1</v>
      </c>
      <c r="D75" s="155">
        <v>1</v>
      </c>
      <c r="E75" s="156" t="s">
        <v>229</v>
      </c>
      <c r="K75" s="160">
        <v>7.5</v>
      </c>
      <c r="L75" s="158">
        <v>4.2</v>
      </c>
      <c r="M75" s="1167">
        <v>1.7</v>
      </c>
      <c r="N75" s="1167"/>
      <c r="O75" s="1167">
        <v>5.3</v>
      </c>
      <c r="AV75" s="1171">
        <v>0.85</v>
      </c>
      <c r="BA75" s="1172">
        <v>350</v>
      </c>
      <c r="BC75" s="970">
        <v>0.55000000000000004</v>
      </c>
      <c r="BL75" s="1071">
        <v>40</v>
      </c>
      <c r="BM75">
        <v>1</v>
      </c>
      <c r="BN75" s="807">
        <v>0.6</v>
      </c>
    </row>
    <row r="76" spans="1:66" ht="14.25" x14ac:dyDescent="0.2">
      <c r="A76" s="161" t="s">
        <v>1065</v>
      </c>
      <c r="C76" s="155">
        <v>1</v>
      </c>
      <c r="D76" s="155">
        <v>1</v>
      </c>
      <c r="E76" s="156" t="s">
        <v>229</v>
      </c>
      <c r="K76" s="157">
        <v>7.5</v>
      </c>
      <c r="L76" s="158">
        <v>3.9</v>
      </c>
      <c r="M76" s="1167">
        <v>1.7</v>
      </c>
      <c r="N76" s="1167"/>
      <c r="O76" s="1167">
        <v>4.7</v>
      </c>
      <c r="AV76" s="1171">
        <v>0.85</v>
      </c>
      <c r="BA76" s="1172">
        <v>350</v>
      </c>
      <c r="BC76" s="970">
        <v>0.55000000000000004</v>
      </c>
      <c r="BL76" s="1071">
        <v>40</v>
      </c>
      <c r="BM76">
        <v>1</v>
      </c>
      <c r="BN76" s="807">
        <v>0.6</v>
      </c>
    </row>
    <row r="77" spans="1:66" ht="14.25" x14ac:dyDescent="0.2">
      <c r="A77" s="161" t="s">
        <v>1066</v>
      </c>
      <c r="C77" s="155">
        <v>1</v>
      </c>
      <c r="D77" s="155">
        <v>1</v>
      </c>
      <c r="E77" s="156" t="s">
        <v>229</v>
      </c>
      <c r="K77" s="157">
        <v>7.5</v>
      </c>
      <c r="L77" s="158">
        <v>4.0999999999999996</v>
      </c>
      <c r="M77" s="1167">
        <v>1.9</v>
      </c>
      <c r="N77" s="1167"/>
      <c r="O77" s="1167">
        <v>4</v>
      </c>
      <c r="AV77" s="1171">
        <v>0.85</v>
      </c>
      <c r="BA77" s="1172">
        <v>350</v>
      </c>
      <c r="BC77" s="970">
        <v>0.55000000000000004</v>
      </c>
      <c r="BL77" s="1071">
        <v>40</v>
      </c>
      <c r="BM77">
        <v>1</v>
      </c>
      <c r="BN77" s="807">
        <v>0.6</v>
      </c>
    </row>
    <row r="78" spans="1:66" ht="25.5" x14ac:dyDescent="0.2">
      <c r="A78" s="161" t="s">
        <v>1067</v>
      </c>
      <c r="C78" s="155">
        <v>1</v>
      </c>
      <c r="D78" s="155">
        <v>2</v>
      </c>
      <c r="E78" s="156" t="s">
        <v>40</v>
      </c>
      <c r="K78" s="157">
        <v>18.5</v>
      </c>
      <c r="L78" s="158">
        <v>4.2</v>
      </c>
      <c r="M78" s="1167">
        <v>2.9</v>
      </c>
      <c r="N78" s="1167"/>
      <c r="O78" s="1167">
        <v>5.6</v>
      </c>
      <c r="AV78" s="1171">
        <v>0.8</v>
      </c>
      <c r="BA78" s="1172">
        <v>450</v>
      </c>
      <c r="BC78" s="970">
        <v>0.55000000000000004</v>
      </c>
      <c r="BL78" s="1071">
        <v>100</v>
      </c>
      <c r="BM78">
        <v>1</v>
      </c>
      <c r="BN78" s="807">
        <v>0.6</v>
      </c>
    </row>
    <row r="79" spans="1:66" x14ac:dyDescent="0.2">
      <c r="A79" s="161" t="s">
        <v>1068</v>
      </c>
      <c r="C79" s="155">
        <v>1</v>
      </c>
      <c r="D79" s="155">
        <v>2</v>
      </c>
      <c r="E79" s="156" t="s">
        <v>40</v>
      </c>
      <c r="K79" s="157">
        <v>23.1</v>
      </c>
      <c r="L79" s="158">
        <v>4.2</v>
      </c>
      <c r="M79" s="1167">
        <v>2.2999999999999998</v>
      </c>
      <c r="N79" s="1167"/>
      <c r="O79" s="1167">
        <v>7.8</v>
      </c>
      <c r="AV79" s="1171">
        <v>0.8</v>
      </c>
      <c r="BA79" s="1172">
        <v>450</v>
      </c>
      <c r="BC79" s="970">
        <v>0.55000000000000004</v>
      </c>
      <c r="BL79" s="1071">
        <v>100</v>
      </c>
      <c r="BM79">
        <v>1</v>
      </c>
      <c r="BN79" s="807">
        <v>0.6</v>
      </c>
    </row>
    <row r="80" spans="1:66" ht="14.25" x14ac:dyDescent="0.2">
      <c r="A80" s="161" t="s">
        <v>1069</v>
      </c>
      <c r="C80" s="155">
        <v>1</v>
      </c>
      <c r="D80" s="155">
        <v>1</v>
      </c>
      <c r="E80" s="156" t="s">
        <v>229</v>
      </c>
      <c r="K80" s="162">
        <v>1.8</v>
      </c>
      <c r="L80" s="158">
        <v>3.2</v>
      </c>
      <c r="M80" s="1167">
        <v>0</v>
      </c>
      <c r="N80" s="1167"/>
      <c r="O80" s="1167">
        <v>7.9</v>
      </c>
      <c r="AV80" s="1171">
        <v>0.85</v>
      </c>
      <c r="BA80" s="1172">
        <v>350</v>
      </c>
      <c r="BC80" s="970">
        <v>0.55000000000000004</v>
      </c>
      <c r="BL80" s="1071">
        <v>40</v>
      </c>
      <c r="BM80">
        <v>1</v>
      </c>
      <c r="BN80" s="807">
        <v>0.6</v>
      </c>
    </row>
    <row r="81" spans="1:66" x14ac:dyDescent="0.2">
      <c r="A81" s="163" t="s">
        <v>1012</v>
      </c>
      <c r="B81" s="164"/>
      <c r="C81" s="165"/>
      <c r="D81" s="165"/>
      <c r="E81" s="166"/>
      <c r="K81" s="167"/>
      <c r="L81" s="168"/>
      <c r="M81" s="1168"/>
      <c r="N81" s="1168"/>
      <c r="O81" s="1168"/>
      <c r="AV81" s="1173"/>
      <c r="BA81" s="1174"/>
      <c r="BC81" s="970">
        <v>0</v>
      </c>
      <c r="BL81" s="1071">
        <v>40</v>
      </c>
      <c r="BM81">
        <v>1</v>
      </c>
      <c r="BN81" s="807">
        <v>0.6</v>
      </c>
    </row>
    <row r="82" spans="1:66" ht="25.5" x14ac:dyDescent="0.2">
      <c r="A82" s="169" t="s">
        <v>1070</v>
      </c>
      <c r="C82" s="170">
        <v>2</v>
      </c>
      <c r="D82" s="170">
        <v>1</v>
      </c>
      <c r="E82" s="156" t="s">
        <v>229</v>
      </c>
      <c r="K82" s="157">
        <v>5</v>
      </c>
      <c r="L82" s="158">
        <v>4.2</v>
      </c>
      <c r="M82" s="1167">
        <v>2.2000000000000002</v>
      </c>
      <c r="N82" s="1167"/>
      <c r="O82" s="1167">
        <v>2.6</v>
      </c>
      <c r="AV82" s="1171">
        <v>0.85</v>
      </c>
      <c r="BA82" s="1172">
        <v>400</v>
      </c>
      <c r="BC82" s="970">
        <v>0.6</v>
      </c>
      <c r="BL82" s="1071">
        <v>40</v>
      </c>
      <c r="BM82">
        <v>1</v>
      </c>
      <c r="BN82" s="807">
        <v>0.7</v>
      </c>
    </row>
    <row r="83" spans="1:66" ht="25.5" x14ac:dyDescent="0.2">
      <c r="A83" s="169" t="s">
        <v>1071</v>
      </c>
      <c r="C83" s="170">
        <v>2</v>
      </c>
      <c r="D83" s="170">
        <v>1</v>
      </c>
      <c r="E83" s="156" t="s">
        <v>229</v>
      </c>
      <c r="K83" s="157">
        <v>5</v>
      </c>
      <c r="L83" s="158">
        <v>4</v>
      </c>
      <c r="M83" s="1167">
        <v>1.9</v>
      </c>
      <c r="N83" s="1167"/>
      <c r="O83" s="1167">
        <v>2.5</v>
      </c>
      <c r="AV83" s="1175">
        <v>0.85</v>
      </c>
      <c r="BA83" s="1172">
        <v>400</v>
      </c>
      <c r="BC83" s="970">
        <v>0.6</v>
      </c>
      <c r="BL83" s="1071">
        <v>40</v>
      </c>
      <c r="BM83">
        <v>1</v>
      </c>
      <c r="BN83" s="807">
        <v>0.7</v>
      </c>
    </row>
    <row r="84" spans="1:66" ht="25.5" x14ac:dyDescent="0.2">
      <c r="A84" s="169" t="s">
        <v>1072</v>
      </c>
      <c r="C84" s="170">
        <v>2</v>
      </c>
      <c r="D84" s="170">
        <v>1</v>
      </c>
      <c r="E84" s="156" t="s">
        <v>229</v>
      </c>
      <c r="K84" s="157">
        <v>5</v>
      </c>
      <c r="L84" s="158">
        <v>4</v>
      </c>
      <c r="M84" s="1167">
        <v>2.2000000000000002</v>
      </c>
      <c r="N84" s="1167"/>
      <c r="O84" s="1167">
        <v>2.5</v>
      </c>
      <c r="AV84" s="1175">
        <v>0.85</v>
      </c>
      <c r="BA84" s="1172">
        <v>400</v>
      </c>
      <c r="BC84" s="970">
        <v>0.6</v>
      </c>
      <c r="BL84" s="1071">
        <v>40</v>
      </c>
      <c r="BM84">
        <v>1</v>
      </c>
      <c r="BN84" s="807">
        <v>0.7</v>
      </c>
    </row>
    <row r="85" spans="1:66" ht="25.5" x14ac:dyDescent="0.2">
      <c r="A85" s="169" t="s">
        <v>1073</v>
      </c>
      <c r="C85" s="170">
        <v>2</v>
      </c>
      <c r="D85" s="170">
        <v>1</v>
      </c>
      <c r="E85" s="156" t="s">
        <v>229</v>
      </c>
      <c r="K85" s="157">
        <v>5</v>
      </c>
      <c r="L85" s="158">
        <v>3.9</v>
      </c>
      <c r="M85" s="1167">
        <v>2.1</v>
      </c>
      <c r="N85" s="1167"/>
      <c r="O85" s="1167">
        <v>2.6</v>
      </c>
      <c r="AV85" s="1175">
        <v>0.85</v>
      </c>
      <c r="BA85" s="1172">
        <v>400</v>
      </c>
      <c r="BC85" s="970">
        <v>0.6</v>
      </c>
      <c r="BL85" s="1071">
        <v>40</v>
      </c>
      <c r="BM85">
        <v>1</v>
      </c>
      <c r="BN85" s="807">
        <v>0.7</v>
      </c>
    </row>
    <row r="86" spans="1:66" x14ac:dyDescent="0.2">
      <c r="A86" s="161" t="s">
        <v>1074</v>
      </c>
      <c r="C86" s="155">
        <v>2</v>
      </c>
      <c r="D86" s="155">
        <v>2</v>
      </c>
      <c r="E86" s="156" t="s">
        <v>40</v>
      </c>
      <c r="K86" s="157">
        <v>21.1</v>
      </c>
      <c r="L86" s="158">
        <v>6.4</v>
      </c>
      <c r="M86" s="1167">
        <v>4.4000000000000004</v>
      </c>
      <c r="N86" s="1167"/>
      <c r="O86" s="1167">
        <v>5.9</v>
      </c>
      <c r="AV86" s="1171">
        <v>0.82</v>
      </c>
      <c r="BA86" s="1172">
        <v>400</v>
      </c>
      <c r="BC86" s="970">
        <v>0.6</v>
      </c>
      <c r="BL86" s="1071">
        <v>100</v>
      </c>
      <c r="BM86">
        <v>1</v>
      </c>
      <c r="BN86" s="807">
        <v>0.7</v>
      </c>
    </row>
    <row r="87" spans="1:66" ht="14.25" x14ac:dyDescent="0.2">
      <c r="A87" s="161" t="s">
        <v>1075</v>
      </c>
      <c r="C87" s="155">
        <v>2</v>
      </c>
      <c r="D87" s="155">
        <v>1</v>
      </c>
      <c r="E87" s="156" t="s">
        <v>229</v>
      </c>
      <c r="K87" s="162">
        <v>1.8</v>
      </c>
      <c r="L87" s="158">
        <v>3.3</v>
      </c>
      <c r="M87" s="1167">
        <v>0</v>
      </c>
      <c r="N87" s="1167"/>
      <c r="O87" s="1167">
        <v>3.1</v>
      </c>
      <c r="AV87" s="1175">
        <v>0.85</v>
      </c>
      <c r="BA87" s="1172">
        <v>400</v>
      </c>
      <c r="BC87" s="970">
        <v>0.6</v>
      </c>
      <c r="BL87" s="1071">
        <v>40</v>
      </c>
      <c r="BM87">
        <v>1</v>
      </c>
      <c r="BN87" s="807">
        <v>0.7</v>
      </c>
    </row>
    <row r="88" spans="1:66" x14ac:dyDescent="0.2">
      <c r="A88" s="171" t="s">
        <v>1013</v>
      </c>
      <c r="B88" s="172"/>
      <c r="C88" s="173"/>
      <c r="D88" s="173"/>
      <c r="E88" s="166"/>
      <c r="K88" s="167"/>
      <c r="L88" s="168"/>
      <c r="M88" s="1168"/>
      <c r="N88" s="1168"/>
      <c r="O88" s="1168"/>
      <c r="AV88" s="1173"/>
      <c r="BA88" s="1174"/>
      <c r="BC88" s="970">
        <v>0</v>
      </c>
      <c r="BL88" s="1071">
        <v>40</v>
      </c>
      <c r="BM88">
        <v>1</v>
      </c>
      <c r="BN88" s="807">
        <v>0.7</v>
      </c>
    </row>
    <row r="89" spans="1:66" x14ac:dyDescent="0.2">
      <c r="A89" s="159" t="s">
        <v>1076</v>
      </c>
      <c r="C89" s="155">
        <v>3</v>
      </c>
      <c r="D89" s="155">
        <v>2</v>
      </c>
      <c r="E89" s="156" t="s">
        <v>40</v>
      </c>
      <c r="K89" s="157">
        <v>50</v>
      </c>
      <c r="L89" s="158">
        <v>21.1</v>
      </c>
      <c r="M89" s="1167">
        <v>18.2</v>
      </c>
      <c r="N89" s="1167"/>
      <c r="O89" s="1167">
        <v>16.399999999999999</v>
      </c>
      <c r="AV89" s="1175">
        <v>0.75</v>
      </c>
      <c r="BA89" s="1172">
        <v>500</v>
      </c>
      <c r="BC89" s="970">
        <v>0.55000000000000004</v>
      </c>
      <c r="BL89" s="1071">
        <v>100</v>
      </c>
      <c r="BM89">
        <v>1</v>
      </c>
      <c r="BN89" s="807">
        <v>0.7</v>
      </c>
    </row>
    <row r="90" spans="1:66" x14ac:dyDescent="0.2">
      <c r="A90" s="159" t="s">
        <v>1077</v>
      </c>
      <c r="C90" s="155">
        <v>3</v>
      </c>
      <c r="D90" s="155">
        <v>2</v>
      </c>
      <c r="E90" s="156" t="s">
        <v>40</v>
      </c>
      <c r="K90" s="157">
        <v>50</v>
      </c>
      <c r="L90" s="158">
        <v>22</v>
      </c>
      <c r="M90" s="1167">
        <v>19</v>
      </c>
      <c r="N90" s="1167"/>
      <c r="O90" s="1167">
        <v>16.399999999999999</v>
      </c>
      <c r="AV90" s="1171">
        <v>0.74</v>
      </c>
      <c r="BA90" s="1172">
        <v>500</v>
      </c>
      <c r="BC90" s="970">
        <v>0.57999999999999996</v>
      </c>
      <c r="BL90" s="1071">
        <v>100</v>
      </c>
      <c r="BM90">
        <v>1</v>
      </c>
      <c r="BN90" s="807">
        <v>0.7</v>
      </c>
    </row>
    <row r="91" spans="1:66" x14ac:dyDescent="0.2">
      <c r="A91" s="159" t="s">
        <v>1078</v>
      </c>
      <c r="C91" s="155">
        <v>3</v>
      </c>
      <c r="D91" s="155">
        <v>2</v>
      </c>
      <c r="E91" s="156" t="s">
        <v>40</v>
      </c>
      <c r="K91" s="157">
        <v>50</v>
      </c>
      <c r="L91" s="158">
        <v>22.1</v>
      </c>
      <c r="M91" s="1167">
        <v>20.3</v>
      </c>
      <c r="N91" s="1167"/>
      <c r="O91" s="1167">
        <v>20.6</v>
      </c>
      <c r="AV91" s="1171">
        <v>0.75</v>
      </c>
      <c r="BA91" s="1172">
        <v>500</v>
      </c>
      <c r="BC91" s="970">
        <v>0.55000000000000004</v>
      </c>
      <c r="BL91" s="1071">
        <v>100</v>
      </c>
      <c r="BM91">
        <v>1</v>
      </c>
      <c r="BN91" s="807">
        <v>0.7</v>
      </c>
    </row>
    <row r="92" spans="1:66" x14ac:dyDescent="0.2">
      <c r="A92" s="159" t="s">
        <v>1079</v>
      </c>
      <c r="C92" s="170">
        <v>3</v>
      </c>
      <c r="D92" s="170">
        <v>2</v>
      </c>
      <c r="E92" s="156" t="s">
        <v>40</v>
      </c>
      <c r="K92" s="157">
        <v>60</v>
      </c>
      <c r="L92" s="158">
        <v>21.3</v>
      </c>
      <c r="M92" s="1167">
        <v>17</v>
      </c>
      <c r="N92" s="1167"/>
      <c r="O92" s="1167">
        <v>19.7</v>
      </c>
      <c r="AV92" s="1171">
        <v>0.75</v>
      </c>
      <c r="BA92" s="1172">
        <v>500</v>
      </c>
      <c r="BC92" s="970">
        <v>0.55000000000000004</v>
      </c>
      <c r="BL92" s="1071">
        <v>100</v>
      </c>
      <c r="BM92">
        <v>1</v>
      </c>
      <c r="BN92" s="807">
        <v>0.7</v>
      </c>
    </row>
    <row r="93" spans="1:66" x14ac:dyDescent="0.2">
      <c r="A93" s="161" t="s">
        <v>1080</v>
      </c>
      <c r="C93" s="170">
        <v>3</v>
      </c>
      <c r="D93" s="170">
        <v>2</v>
      </c>
      <c r="E93" s="156" t="s">
        <v>40</v>
      </c>
      <c r="K93" s="157">
        <v>30</v>
      </c>
      <c r="L93" s="158">
        <v>6.5</v>
      </c>
      <c r="M93" s="1167">
        <v>6</v>
      </c>
      <c r="N93" s="1167"/>
      <c r="O93" s="1167">
        <v>6.2</v>
      </c>
      <c r="AV93" s="1171">
        <v>0.75</v>
      </c>
      <c r="BA93" s="1172">
        <v>500</v>
      </c>
      <c r="BC93" s="970">
        <v>0.55000000000000004</v>
      </c>
      <c r="BL93" s="1071">
        <v>100</v>
      </c>
      <c r="BM93">
        <v>1</v>
      </c>
      <c r="BN93" s="807">
        <v>0.7</v>
      </c>
    </row>
    <row r="94" spans="1:66" x14ac:dyDescent="0.2">
      <c r="A94" s="161" t="s">
        <v>1081</v>
      </c>
      <c r="C94" s="170">
        <v>3</v>
      </c>
      <c r="D94" s="170">
        <v>2</v>
      </c>
      <c r="E94" s="156" t="s">
        <v>40</v>
      </c>
      <c r="K94" s="157">
        <v>30</v>
      </c>
      <c r="L94" s="158">
        <v>7.8</v>
      </c>
      <c r="M94" s="1167">
        <v>8.1</v>
      </c>
      <c r="N94" s="1167"/>
      <c r="O94" s="1167">
        <v>6.9</v>
      </c>
      <c r="AV94" s="1171">
        <v>0.75</v>
      </c>
      <c r="BA94" s="1172">
        <v>500</v>
      </c>
      <c r="BC94" s="970">
        <v>0.55000000000000004</v>
      </c>
      <c r="BL94" s="1071">
        <v>100</v>
      </c>
      <c r="BM94">
        <v>1</v>
      </c>
      <c r="BN94" s="807">
        <v>0.7</v>
      </c>
    </row>
    <row r="95" spans="1:66" x14ac:dyDescent="0.2">
      <c r="A95" s="163" t="s">
        <v>1014</v>
      </c>
      <c r="B95" s="164"/>
      <c r="C95" s="165"/>
      <c r="D95" s="165"/>
      <c r="E95" s="166"/>
      <c r="K95" s="167"/>
      <c r="L95" s="168"/>
      <c r="M95" s="1168"/>
      <c r="N95" s="1168"/>
      <c r="O95" s="1168"/>
      <c r="AV95" s="1173"/>
      <c r="BA95" s="1176"/>
      <c r="BC95" s="970">
        <v>0</v>
      </c>
      <c r="BL95" s="1071">
        <v>100</v>
      </c>
      <c r="BM95">
        <v>1</v>
      </c>
      <c r="BN95" s="807">
        <v>0.55000000000000004</v>
      </c>
    </row>
    <row r="96" spans="1:66" x14ac:dyDescent="0.2">
      <c r="A96" s="159" t="s">
        <v>1082</v>
      </c>
      <c r="C96" s="155">
        <v>4</v>
      </c>
      <c r="D96" s="155">
        <v>2</v>
      </c>
      <c r="E96" s="156" t="s">
        <v>40</v>
      </c>
      <c r="K96" s="157">
        <v>30</v>
      </c>
      <c r="L96" s="158">
        <v>3.6</v>
      </c>
      <c r="M96" s="1167">
        <v>2.7</v>
      </c>
      <c r="N96" s="1167"/>
      <c r="O96" s="1167">
        <v>9.3000000000000007</v>
      </c>
      <c r="AV96" s="1171">
        <v>0.75</v>
      </c>
      <c r="BA96" s="1177">
        <v>300</v>
      </c>
      <c r="BC96" s="970">
        <v>0.55000000000000004</v>
      </c>
      <c r="BL96" s="1071">
        <v>100</v>
      </c>
      <c r="BM96">
        <v>1</v>
      </c>
      <c r="BN96" s="807">
        <v>0.55000000000000004</v>
      </c>
    </row>
    <row r="97" spans="1:66" x14ac:dyDescent="0.2">
      <c r="A97" s="159" t="s">
        <v>1083</v>
      </c>
      <c r="C97" s="155">
        <v>4</v>
      </c>
      <c r="D97" s="155">
        <v>2</v>
      </c>
      <c r="E97" s="156" t="s">
        <v>40</v>
      </c>
      <c r="K97" s="157">
        <v>30</v>
      </c>
      <c r="L97" s="158">
        <v>5.5</v>
      </c>
      <c r="M97" s="1167">
        <v>3.1</v>
      </c>
      <c r="N97" s="1167"/>
      <c r="O97" s="1167">
        <v>11.7</v>
      </c>
      <c r="AV97" s="1171">
        <v>0.8</v>
      </c>
      <c r="BA97" s="1177">
        <v>450</v>
      </c>
      <c r="BC97" s="970">
        <v>0.55000000000000004</v>
      </c>
      <c r="BL97" s="1071">
        <v>100</v>
      </c>
      <c r="BM97">
        <v>1</v>
      </c>
      <c r="BN97" s="807">
        <v>0.55000000000000004</v>
      </c>
    </row>
    <row r="98" spans="1:66" x14ac:dyDescent="0.2">
      <c r="A98" s="159" t="s">
        <v>1084</v>
      </c>
      <c r="C98" s="155">
        <v>4</v>
      </c>
      <c r="D98" s="155">
        <v>2</v>
      </c>
      <c r="E98" s="155" t="s">
        <v>40</v>
      </c>
      <c r="K98" s="160">
        <v>30</v>
      </c>
      <c r="L98" s="158">
        <v>7.4</v>
      </c>
      <c r="M98" s="1170">
        <v>7.2</v>
      </c>
      <c r="N98" s="1170"/>
      <c r="O98" s="1170">
        <v>12.9</v>
      </c>
      <c r="AV98" s="899">
        <v>0.8</v>
      </c>
      <c r="BA98" s="899">
        <v>450</v>
      </c>
      <c r="BC98" s="970">
        <v>0.55000000000000004</v>
      </c>
      <c r="BL98" s="1071">
        <v>100</v>
      </c>
      <c r="BM98">
        <v>1</v>
      </c>
      <c r="BN98" s="807">
        <v>0.55000000000000004</v>
      </c>
    </row>
    <row r="105" spans="1:66" x14ac:dyDescent="0.2">
      <c r="K105" s="1260"/>
      <c r="L105" s="1260"/>
      <c r="M105" s="1260"/>
      <c r="N105" s="807"/>
      <c r="O105" s="807"/>
      <c r="P105" s="837"/>
      <c r="Q105" s="899"/>
      <c r="R105" s="899"/>
      <c r="S105" s="899"/>
      <c r="T105" s="899"/>
      <c r="U105" s="899"/>
      <c r="V105" s="899"/>
    </row>
    <row r="106" spans="1:66" x14ac:dyDescent="0.2">
      <c r="K106" s="1260"/>
      <c r="L106" s="1260"/>
      <c r="M106" s="1260"/>
      <c r="N106" s="807"/>
      <c r="O106" s="807"/>
      <c r="P106" s="837"/>
      <c r="Q106" s="899"/>
      <c r="R106" s="899"/>
      <c r="S106" s="899"/>
      <c r="T106" s="899"/>
      <c r="U106" s="899"/>
      <c r="V106" s="899"/>
    </row>
    <row r="107" spans="1:66" x14ac:dyDescent="0.2">
      <c r="K107" s="1260"/>
      <c r="L107" s="807"/>
      <c r="M107" s="807"/>
      <c r="N107" s="807"/>
      <c r="O107" s="807"/>
      <c r="P107" s="837"/>
      <c r="Q107" s="899"/>
      <c r="R107" s="899"/>
      <c r="S107" s="899"/>
      <c r="T107" s="899"/>
      <c r="U107" s="899"/>
      <c r="V107" s="899"/>
    </row>
    <row r="108" spans="1:66" x14ac:dyDescent="0.2">
      <c r="K108" s="1260"/>
      <c r="L108" s="1260"/>
      <c r="M108" s="1260"/>
      <c r="N108" s="807"/>
      <c r="O108" s="807"/>
      <c r="P108" s="837"/>
      <c r="Q108" s="899"/>
      <c r="R108" s="899"/>
      <c r="S108" s="899"/>
      <c r="T108" s="899"/>
      <c r="U108" s="899"/>
      <c r="V108" s="899"/>
    </row>
    <row r="109" spans="1:66" x14ac:dyDescent="0.2">
      <c r="K109" s="1260"/>
      <c r="L109" s="1260"/>
      <c r="M109" s="1260"/>
      <c r="N109" s="807"/>
      <c r="O109" s="807"/>
      <c r="P109" s="837"/>
      <c r="Q109" s="899"/>
      <c r="R109" s="899"/>
      <c r="S109" s="899"/>
      <c r="T109" s="899"/>
      <c r="U109" s="899"/>
      <c r="V109" s="899"/>
    </row>
    <row r="110" spans="1:66" x14ac:dyDescent="0.2">
      <c r="K110" s="1260"/>
      <c r="L110" s="1260"/>
      <c r="M110" s="1260"/>
      <c r="N110" s="807"/>
      <c r="O110" s="807"/>
      <c r="P110" s="837"/>
      <c r="Q110" s="899"/>
      <c r="R110" s="899"/>
      <c r="S110" s="899"/>
      <c r="T110" s="899"/>
      <c r="U110" s="899"/>
      <c r="V110" s="899"/>
    </row>
    <row r="111" spans="1:66" x14ac:dyDescent="0.2">
      <c r="K111" s="1260"/>
      <c r="L111" s="1260"/>
      <c r="M111" s="1260"/>
      <c r="N111" s="807"/>
      <c r="O111" s="807"/>
      <c r="P111" s="837"/>
      <c r="Q111" s="899"/>
      <c r="R111" s="899"/>
      <c r="S111" s="899"/>
      <c r="T111" s="899"/>
      <c r="U111" s="899"/>
      <c r="V111" s="899"/>
    </row>
    <row r="112" spans="1:66" x14ac:dyDescent="0.2">
      <c r="K112" s="1260"/>
      <c r="L112" s="1260"/>
      <c r="M112" s="1260"/>
      <c r="N112" s="807"/>
      <c r="O112" s="807"/>
      <c r="P112" s="837"/>
      <c r="Q112" s="899"/>
      <c r="R112" s="899"/>
      <c r="S112" s="899"/>
      <c r="T112" s="899"/>
      <c r="U112" s="899"/>
      <c r="V112" s="899"/>
    </row>
    <row r="113" spans="11:22" x14ac:dyDescent="0.2">
      <c r="K113" s="807"/>
      <c r="L113" s="807"/>
      <c r="M113" s="807"/>
      <c r="N113" s="807"/>
      <c r="O113" s="807"/>
      <c r="P113" s="837"/>
      <c r="Q113" s="899"/>
      <c r="R113" s="899"/>
      <c r="S113" s="899"/>
      <c r="T113" s="899"/>
      <c r="U113" s="899"/>
      <c r="V113" s="899"/>
    </row>
    <row r="114" spans="11:22" x14ac:dyDescent="0.2">
      <c r="K114" s="1260"/>
      <c r="L114" s="1260"/>
      <c r="M114" s="1260"/>
      <c r="N114" s="807"/>
      <c r="O114" s="807"/>
      <c r="P114" s="837"/>
      <c r="Q114" s="899"/>
      <c r="R114" s="899"/>
      <c r="S114" s="899"/>
      <c r="T114" s="899"/>
      <c r="U114" s="899"/>
      <c r="V114" s="899"/>
    </row>
    <row r="115" spans="11:22" x14ac:dyDescent="0.2">
      <c r="K115" s="1260"/>
      <c r="L115" s="1260"/>
      <c r="M115" s="1260"/>
      <c r="N115" s="807"/>
      <c r="O115" s="807"/>
      <c r="P115" s="837"/>
      <c r="Q115" s="899"/>
      <c r="R115" s="899"/>
      <c r="S115" s="899"/>
      <c r="T115" s="899"/>
      <c r="U115" s="899"/>
      <c r="V115" s="899"/>
    </row>
    <row r="116" spans="11:22" x14ac:dyDescent="0.2">
      <c r="K116" s="807"/>
      <c r="L116" s="807"/>
      <c r="M116" s="807"/>
      <c r="N116" s="807"/>
      <c r="O116" s="807"/>
      <c r="P116" s="837"/>
      <c r="Q116" s="899"/>
      <c r="R116" s="899"/>
      <c r="S116" s="899"/>
      <c r="T116" s="899"/>
      <c r="U116" s="899"/>
      <c r="V116" s="899"/>
    </row>
    <row r="117" spans="11:22" x14ac:dyDescent="0.2">
      <c r="K117" s="1260"/>
      <c r="L117" s="1260"/>
      <c r="M117" s="1260"/>
      <c r="N117" s="807"/>
      <c r="O117" s="807"/>
      <c r="P117" s="837"/>
      <c r="Q117" s="899"/>
      <c r="R117" s="899"/>
      <c r="S117" s="899"/>
      <c r="T117" s="899"/>
      <c r="U117" s="899"/>
      <c r="V117" s="899"/>
    </row>
    <row r="118" spans="11:22" x14ac:dyDescent="0.2">
      <c r="K118" s="1260"/>
      <c r="L118" s="1260"/>
      <c r="M118" s="1260"/>
      <c r="N118" s="807"/>
      <c r="O118" s="807"/>
      <c r="P118" s="837"/>
      <c r="Q118" s="899"/>
      <c r="R118" s="899"/>
      <c r="S118" s="899"/>
      <c r="T118" s="899"/>
      <c r="U118" s="899"/>
      <c r="V118" s="899"/>
    </row>
    <row r="119" spans="11:22" x14ac:dyDescent="0.2">
      <c r="K119" s="1260"/>
      <c r="L119" s="1260"/>
      <c r="M119" s="1260"/>
      <c r="N119" s="807"/>
      <c r="O119" s="807"/>
      <c r="P119" s="837"/>
      <c r="Q119" s="899"/>
      <c r="R119" s="899"/>
      <c r="S119" s="899"/>
      <c r="T119" s="899"/>
      <c r="U119" s="899"/>
      <c r="V119" s="899"/>
    </row>
    <row r="120" spans="11:22" x14ac:dyDescent="0.2">
      <c r="K120" s="1260"/>
      <c r="L120" s="1260"/>
      <c r="M120" s="1260"/>
      <c r="N120" s="807"/>
      <c r="O120" s="807"/>
      <c r="P120" s="837"/>
      <c r="Q120" s="899"/>
      <c r="R120" s="899"/>
      <c r="S120" s="899"/>
      <c r="T120" s="899"/>
      <c r="U120" s="899"/>
      <c r="V120" s="899"/>
    </row>
    <row r="121" spans="11:22" x14ac:dyDescent="0.2">
      <c r="K121" s="807"/>
      <c r="L121" s="807"/>
      <c r="M121" s="807"/>
      <c r="N121" s="807"/>
      <c r="O121" s="807"/>
      <c r="P121" s="837"/>
      <c r="Q121" s="899"/>
      <c r="R121" s="899"/>
      <c r="S121" s="899"/>
      <c r="T121" s="899"/>
      <c r="U121" s="899"/>
      <c r="V121" s="899"/>
    </row>
    <row r="122" spans="11:22" x14ac:dyDescent="0.2">
      <c r="K122" s="807"/>
      <c r="L122" s="807"/>
      <c r="M122" s="807"/>
      <c r="N122" s="807"/>
      <c r="O122" s="807"/>
      <c r="P122" s="837"/>
      <c r="Q122" s="899"/>
      <c r="R122" s="899"/>
      <c r="S122" s="899"/>
      <c r="T122" s="899"/>
      <c r="U122" s="899"/>
      <c r="V122" s="899"/>
    </row>
    <row r="123" spans="11:22" x14ac:dyDescent="0.2">
      <c r="K123" s="1260"/>
      <c r="L123" s="1260"/>
      <c r="M123" s="1260"/>
      <c r="N123" s="807"/>
      <c r="O123" s="807"/>
      <c r="P123" s="837"/>
      <c r="Q123" s="899"/>
      <c r="R123" s="899"/>
      <c r="S123" s="899"/>
      <c r="T123" s="899"/>
      <c r="U123" s="899"/>
      <c r="V123" s="899"/>
    </row>
    <row r="124" spans="11:22" x14ac:dyDescent="0.2">
      <c r="K124" s="807"/>
      <c r="L124" s="807"/>
      <c r="M124" s="807"/>
      <c r="N124" s="807"/>
      <c r="O124" s="807"/>
      <c r="P124" s="837"/>
      <c r="Q124" s="899"/>
      <c r="R124" s="899"/>
      <c r="S124" s="899"/>
      <c r="T124" s="899"/>
      <c r="U124" s="899"/>
      <c r="V124" s="899"/>
    </row>
    <row r="125" spans="11:22" x14ac:dyDescent="0.2">
      <c r="K125" s="1260"/>
      <c r="L125" s="1260"/>
      <c r="M125" s="1260"/>
      <c r="N125" s="807"/>
      <c r="O125" s="807"/>
      <c r="P125" s="837"/>
      <c r="Q125" s="899"/>
      <c r="R125" s="899"/>
      <c r="S125" s="899"/>
      <c r="T125" s="899"/>
      <c r="U125" s="899"/>
      <c r="V125" s="899"/>
    </row>
    <row r="126" spans="11:22" x14ac:dyDescent="0.2">
      <c r="K126" s="807"/>
      <c r="L126" s="807"/>
      <c r="M126" s="807"/>
      <c r="N126" s="807"/>
      <c r="O126" s="807"/>
      <c r="P126" s="837"/>
      <c r="Q126" s="899"/>
      <c r="R126" s="899"/>
      <c r="S126" s="899"/>
      <c r="T126" s="899"/>
      <c r="U126" s="899"/>
      <c r="V126" s="899"/>
    </row>
    <row r="127" spans="11:22" x14ac:dyDescent="0.2">
      <c r="K127" s="807"/>
      <c r="L127" s="807"/>
      <c r="M127" s="807"/>
      <c r="N127" s="807"/>
      <c r="O127" s="807"/>
      <c r="P127" s="837"/>
      <c r="Q127" s="899"/>
      <c r="R127" s="899"/>
      <c r="S127" s="899"/>
      <c r="T127" s="899"/>
      <c r="U127" s="899"/>
      <c r="V127" s="899"/>
    </row>
    <row r="128" spans="11:22" x14ac:dyDescent="0.2">
      <c r="K128" s="1260"/>
      <c r="L128" s="1260"/>
      <c r="M128" s="1260"/>
      <c r="N128" s="807"/>
      <c r="O128" s="807"/>
      <c r="P128" s="837"/>
      <c r="Q128" s="899"/>
      <c r="R128" s="899"/>
      <c r="S128" s="899"/>
      <c r="T128" s="899"/>
      <c r="U128" s="899"/>
      <c r="V128" s="899"/>
    </row>
    <row r="129" spans="11:22" x14ac:dyDescent="0.2">
      <c r="K129" s="807"/>
      <c r="L129" s="807"/>
      <c r="M129" s="807"/>
      <c r="N129" s="807"/>
      <c r="O129" s="807"/>
      <c r="P129" s="837"/>
      <c r="Q129" s="899"/>
      <c r="R129" s="899"/>
      <c r="S129" s="899"/>
      <c r="T129" s="899"/>
      <c r="U129" s="899"/>
      <c r="V129" s="899"/>
    </row>
    <row r="130" spans="11:22" x14ac:dyDescent="0.2">
      <c r="K130" s="1260"/>
      <c r="L130" s="1260"/>
      <c r="M130" s="1260"/>
      <c r="N130" s="807"/>
      <c r="O130" s="807"/>
      <c r="P130" s="837"/>
      <c r="Q130" s="899"/>
      <c r="R130" s="899"/>
      <c r="S130" s="899"/>
      <c r="T130" s="899"/>
      <c r="U130" s="899"/>
      <c r="V130" s="899"/>
    </row>
    <row r="131" spans="11:22" x14ac:dyDescent="0.2">
      <c r="K131" s="1260"/>
      <c r="L131" s="1260"/>
      <c r="M131" s="1260"/>
      <c r="N131" s="807"/>
      <c r="O131" s="807"/>
      <c r="P131" s="837"/>
      <c r="Q131" s="899"/>
      <c r="R131" s="899"/>
      <c r="S131" s="899"/>
      <c r="T131" s="899"/>
      <c r="U131" s="899"/>
      <c r="V131" s="899"/>
    </row>
    <row r="132" spans="11:22" x14ac:dyDescent="0.2">
      <c r="K132" s="1260"/>
      <c r="L132" s="1260"/>
      <c r="M132" s="1260"/>
      <c r="N132" s="807"/>
      <c r="O132" s="807"/>
      <c r="P132" s="837"/>
      <c r="Q132" s="899"/>
      <c r="R132" s="899"/>
      <c r="S132" s="899"/>
      <c r="T132" s="899"/>
      <c r="U132" s="899"/>
      <c r="V132" s="899"/>
    </row>
    <row r="133" spans="11:22" x14ac:dyDescent="0.2">
      <c r="K133" s="807"/>
      <c r="L133" s="807"/>
      <c r="M133" s="807"/>
      <c r="N133" s="807"/>
      <c r="O133" s="807"/>
      <c r="P133" s="837"/>
      <c r="Q133" s="899"/>
      <c r="R133" s="899"/>
      <c r="S133" s="899"/>
      <c r="T133" s="899"/>
      <c r="U133" s="899"/>
      <c r="V133" s="899"/>
    </row>
    <row r="134" spans="11:22" x14ac:dyDescent="0.2">
      <c r="K134" s="807"/>
      <c r="L134" s="807"/>
      <c r="M134" s="807"/>
      <c r="N134" s="807"/>
      <c r="O134" s="807"/>
      <c r="P134" s="837"/>
      <c r="Q134" s="899"/>
      <c r="R134" s="899"/>
      <c r="S134" s="899"/>
      <c r="T134" s="899"/>
      <c r="U134" s="899"/>
      <c r="V134" s="899"/>
    </row>
    <row r="135" spans="11:22" x14ac:dyDescent="0.2">
      <c r="K135" s="1260"/>
      <c r="L135" s="1260"/>
      <c r="M135" s="1260"/>
      <c r="N135" s="807"/>
      <c r="O135" s="807"/>
      <c r="P135" s="837"/>
      <c r="Q135" s="899"/>
      <c r="R135" s="899"/>
      <c r="S135" s="899"/>
      <c r="T135" s="899"/>
      <c r="U135" s="899"/>
      <c r="V135" s="899"/>
    </row>
    <row r="136" spans="11:22" x14ac:dyDescent="0.2">
      <c r="K136" s="807"/>
      <c r="L136" s="807"/>
      <c r="M136" s="807"/>
      <c r="N136" s="807"/>
      <c r="O136" s="807"/>
      <c r="P136" s="837"/>
      <c r="Q136" s="899"/>
      <c r="R136" s="899"/>
      <c r="S136" s="899"/>
      <c r="T136" s="899"/>
      <c r="U136" s="899"/>
      <c r="V136" s="899"/>
    </row>
    <row r="137" spans="11:22" x14ac:dyDescent="0.2">
      <c r="K137" s="807"/>
      <c r="L137" s="807"/>
      <c r="M137" s="807"/>
      <c r="N137" s="807"/>
      <c r="O137" s="807"/>
      <c r="P137" s="837"/>
      <c r="Q137" s="899"/>
      <c r="R137" s="899"/>
      <c r="S137" s="899"/>
      <c r="T137" s="899"/>
      <c r="U137" s="899"/>
      <c r="V137" s="899"/>
    </row>
    <row r="138" spans="11:22" x14ac:dyDescent="0.2">
      <c r="K138" s="807"/>
      <c r="L138" s="807"/>
      <c r="M138" s="807"/>
      <c r="N138" s="807"/>
      <c r="O138" s="807"/>
      <c r="P138" s="837"/>
      <c r="Q138" s="899"/>
      <c r="R138" s="899"/>
      <c r="S138" s="899"/>
      <c r="T138" s="899"/>
      <c r="U138" s="899"/>
      <c r="V138" s="899"/>
    </row>
    <row r="139" spans="11:22" x14ac:dyDescent="0.2">
      <c r="K139" s="807"/>
      <c r="L139" s="807"/>
      <c r="M139" s="807"/>
      <c r="N139" s="807"/>
      <c r="O139" s="807"/>
      <c r="P139" s="837"/>
      <c r="Q139" s="899"/>
      <c r="R139" s="899"/>
      <c r="S139" s="899"/>
      <c r="T139" s="899"/>
      <c r="U139" s="899"/>
      <c r="V139" s="899"/>
    </row>
    <row r="140" spans="11:22" x14ac:dyDescent="0.2">
      <c r="K140" s="807"/>
      <c r="L140" s="807"/>
      <c r="M140" s="807"/>
      <c r="N140" s="807"/>
      <c r="O140" s="807"/>
      <c r="P140" s="837"/>
      <c r="Q140" s="899"/>
      <c r="R140" s="899"/>
      <c r="S140" s="899"/>
      <c r="T140" s="899"/>
      <c r="U140" s="899"/>
      <c r="V140" s="899"/>
    </row>
    <row r="141" spans="11:22" x14ac:dyDescent="0.2">
      <c r="K141" s="807"/>
      <c r="L141" s="807"/>
      <c r="M141" s="807"/>
      <c r="N141" s="807"/>
      <c r="O141" s="807"/>
      <c r="P141" s="837"/>
      <c r="Q141" s="899"/>
      <c r="R141" s="899"/>
      <c r="S141" s="899"/>
      <c r="T141" s="899"/>
      <c r="U141" s="899"/>
      <c r="V141" s="899"/>
    </row>
    <row r="142" spans="11:22" x14ac:dyDescent="0.2">
      <c r="K142" s="807"/>
      <c r="L142" s="807"/>
      <c r="M142" s="807"/>
      <c r="N142" s="807"/>
      <c r="O142" s="807"/>
      <c r="P142" s="837"/>
      <c r="Q142" s="899"/>
      <c r="R142" s="899"/>
      <c r="S142" s="899"/>
      <c r="T142" s="899"/>
      <c r="U142" s="899"/>
      <c r="V142" s="899"/>
    </row>
    <row r="143" spans="11:22" x14ac:dyDescent="0.2">
      <c r="K143" s="807"/>
      <c r="L143" s="807"/>
      <c r="M143" s="807"/>
      <c r="N143" s="807"/>
      <c r="O143" s="807"/>
      <c r="P143" s="837"/>
      <c r="Q143" s="899"/>
      <c r="R143" s="899"/>
      <c r="S143" s="899"/>
      <c r="T143" s="899"/>
      <c r="U143" s="899"/>
      <c r="V143" s="899"/>
    </row>
    <row r="144" spans="11:22" x14ac:dyDescent="0.2">
      <c r="K144" s="807"/>
      <c r="L144" s="807"/>
      <c r="M144" s="807"/>
      <c r="N144" s="807"/>
      <c r="O144" s="807"/>
      <c r="P144" s="837"/>
      <c r="Q144" s="899"/>
      <c r="R144" s="899"/>
      <c r="S144" s="899"/>
      <c r="T144" s="899"/>
      <c r="U144" s="899"/>
      <c r="V144" s="899"/>
    </row>
    <row r="145" spans="11:22" x14ac:dyDescent="0.2">
      <c r="K145" s="807"/>
      <c r="L145" s="807"/>
      <c r="M145" s="807"/>
      <c r="N145" s="807"/>
      <c r="O145" s="807"/>
      <c r="P145" s="837"/>
      <c r="Q145" s="899"/>
      <c r="R145" s="899"/>
      <c r="S145" s="899"/>
      <c r="T145" s="899"/>
      <c r="U145" s="899"/>
      <c r="V145" s="899"/>
    </row>
    <row r="146" spans="11:22" x14ac:dyDescent="0.2">
      <c r="K146" s="807"/>
      <c r="L146" s="807"/>
      <c r="M146" s="807"/>
      <c r="N146" s="807"/>
      <c r="O146" s="807"/>
      <c r="P146" s="837"/>
      <c r="Q146" s="899"/>
      <c r="R146" s="899"/>
      <c r="S146" s="899"/>
      <c r="T146" s="899"/>
      <c r="U146" s="899"/>
      <c r="V146" s="899"/>
    </row>
    <row r="147" spans="11:22" x14ac:dyDescent="0.2">
      <c r="K147" s="1261"/>
      <c r="L147" s="1261"/>
      <c r="M147" s="1261"/>
      <c r="N147" s="1261"/>
      <c r="O147" s="1261"/>
      <c r="P147" s="837"/>
      <c r="Q147" s="899"/>
      <c r="R147" s="899"/>
      <c r="S147" s="899"/>
      <c r="T147" s="899"/>
      <c r="U147" s="899"/>
      <c r="V147" s="899"/>
    </row>
    <row r="148" spans="11:22" x14ac:dyDescent="0.2">
      <c r="K148" s="807"/>
      <c r="L148" s="807"/>
      <c r="M148" s="807"/>
      <c r="N148" s="807"/>
      <c r="O148" s="807"/>
      <c r="P148" s="837"/>
      <c r="Q148" s="899"/>
      <c r="R148" s="899"/>
      <c r="S148" s="899"/>
      <c r="T148" s="899"/>
      <c r="U148" s="899"/>
      <c r="V148" s="899"/>
    </row>
    <row r="149" spans="11:22" x14ac:dyDescent="0.2">
      <c r="K149" s="1260"/>
      <c r="L149" s="1260"/>
      <c r="M149" s="1260"/>
      <c r="N149" s="807"/>
      <c r="O149" s="807"/>
      <c r="P149" s="837"/>
      <c r="Q149" s="899"/>
      <c r="R149" s="899"/>
      <c r="S149" s="899"/>
      <c r="T149" s="899"/>
      <c r="U149" s="899"/>
      <c r="V149" s="899"/>
    </row>
    <row r="150" spans="11:22" x14ac:dyDescent="0.2">
      <c r="K150" s="1262"/>
      <c r="L150" s="1262"/>
      <c r="M150" s="807"/>
      <c r="N150" s="937"/>
      <c r="O150" s="807"/>
      <c r="P150" s="837"/>
      <c r="Q150" s="899"/>
      <c r="R150" s="899"/>
      <c r="S150" s="899"/>
      <c r="T150" s="899"/>
      <c r="U150" s="899"/>
      <c r="V150" s="899"/>
    </row>
    <row r="151" spans="11:22" x14ac:dyDescent="0.2">
      <c r="K151" s="1262"/>
      <c r="L151" s="1262"/>
      <c r="M151" s="807"/>
      <c r="N151" s="937"/>
      <c r="O151" s="807"/>
      <c r="P151" s="837"/>
      <c r="Q151" s="899"/>
      <c r="R151" s="899"/>
      <c r="S151" s="899"/>
      <c r="T151" s="899"/>
      <c r="U151" s="899"/>
      <c r="V151" s="899"/>
    </row>
    <row r="152" spans="11:22" x14ac:dyDescent="0.2">
      <c r="K152" s="1262"/>
      <c r="L152" s="1262"/>
      <c r="M152" s="807"/>
      <c r="N152" s="937"/>
      <c r="O152" s="807"/>
      <c r="P152" s="837"/>
      <c r="Q152" s="899"/>
      <c r="R152" s="899"/>
      <c r="S152" s="899"/>
      <c r="T152" s="899"/>
      <c r="U152" s="899"/>
      <c r="V152" s="899"/>
    </row>
    <row r="153" spans="11:22" x14ac:dyDescent="0.2">
      <c r="K153" s="1262"/>
      <c r="L153" s="1262"/>
      <c r="M153" s="807"/>
      <c r="N153" s="937"/>
      <c r="O153" s="807"/>
      <c r="P153" s="837"/>
      <c r="Q153" s="899"/>
      <c r="R153" s="899"/>
      <c r="S153" s="899"/>
      <c r="T153" s="899"/>
      <c r="U153" s="899"/>
      <c r="V153" s="899"/>
    </row>
    <row r="154" spans="11:22" x14ac:dyDescent="0.2">
      <c r="K154" s="1262"/>
      <c r="L154" s="1262"/>
      <c r="M154" s="807"/>
      <c r="N154" s="937"/>
      <c r="O154" s="807"/>
      <c r="P154" s="837"/>
      <c r="Q154" s="899"/>
      <c r="R154" s="899"/>
      <c r="S154" s="899"/>
      <c r="T154" s="899"/>
      <c r="U154" s="899"/>
      <c r="V154" s="899"/>
    </row>
    <row r="155" spans="11:22" x14ac:dyDescent="0.2">
      <c r="K155" s="1262"/>
      <c r="L155" s="1262"/>
      <c r="M155" s="807"/>
      <c r="N155" s="937"/>
      <c r="O155" s="807"/>
      <c r="P155" s="837"/>
      <c r="Q155" s="899"/>
      <c r="R155" s="899"/>
      <c r="S155" s="899"/>
      <c r="T155" s="899"/>
      <c r="U155" s="899"/>
      <c r="V155" s="899"/>
    </row>
    <row r="156" spans="11:22" x14ac:dyDescent="0.2">
      <c r="K156" s="1262"/>
      <c r="L156" s="1262"/>
      <c r="M156" s="807"/>
      <c r="N156" s="937"/>
      <c r="O156" s="807"/>
      <c r="P156" s="837"/>
      <c r="Q156" s="899"/>
      <c r="R156" s="899"/>
      <c r="S156" s="899"/>
      <c r="T156" s="899"/>
      <c r="U156" s="899"/>
      <c r="V156" s="899"/>
    </row>
    <row r="157" spans="11:22" x14ac:dyDescent="0.2">
      <c r="K157" s="937"/>
      <c r="L157" s="937"/>
      <c r="M157" s="807"/>
      <c r="N157" s="937"/>
      <c r="O157" s="807"/>
      <c r="P157" s="837"/>
      <c r="Q157" s="899"/>
      <c r="R157" s="899"/>
      <c r="S157" s="899"/>
      <c r="T157" s="899"/>
      <c r="U157" s="899"/>
      <c r="V157" s="899"/>
    </row>
    <row r="158" spans="11:22" x14ac:dyDescent="0.2">
      <c r="K158" s="1263"/>
      <c r="L158" s="1263"/>
      <c r="M158" s="807"/>
      <c r="N158" s="1263"/>
      <c r="O158" s="807"/>
      <c r="P158" s="837"/>
      <c r="Q158" s="899"/>
      <c r="R158" s="899"/>
      <c r="S158" s="899"/>
      <c r="T158" s="899"/>
      <c r="U158" s="899"/>
      <c r="V158" s="899"/>
    </row>
    <row r="159" spans="11:22" x14ac:dyDescent="0.2">
      <c r="K159" s="807"/>
      <c r="L159" s="807"/>
      <c r="M159" s="807"/>
      <c r="N159" s="807"/>
      <c r="O159" s="807"/>
      <c r="P159" s="837"/>
      <c r="Q159" s="899"/>
      <c r="R159" s="899"/>
      <c r="S159" s="899"/>
      <c r="T159" s="899"/>
      <c r="U159" s="899"/>
      <c r="V159" s="899"/>
    </row>
    <row r="160" spans="11:22" x14ac:dyDescent="0.2">
      <c r="K160" s="807"/>
      <c r="L160" s="807"/>
      <c r="M160" s="807"/>
      <c r="N160" s="807"/>
      <c r="O160" s="807"/>
      <c r="P160" s="837"/>
      <c r="Q160" s="899"/>
      <c r="R160" s="899"/>
      <c r="S160" s="899"/>
      <c r="T160" s="899"/>
      <c r="U160" s="899"/>
      <c r="V160" s="899"/>
    </row>
    <row r="161" spans="11:22" x14ac:dyDescent="0.2">
      <c r="K161" s="807"/>
      <c r="L161" s="807"/>
      <c r="M161" s="807"/>
      <c r="N161" s="807"/>
      <c r="O161" s="807"/>
      <c r="P161" s="837"/>
      <c r="Q161" s="899"/>
      <c r="R161" s="899"/>
      <c r="S161" s="899"/>
      <c r="T161" s="899"/>
      <c r="U161" s="899"/>
      <c r="V161" s="899"/>
    </row>
    <row r="162" spans="11:22" x14ac:dyDescent="0.2">
      <c r="K162" s="961"/>
      <c r="L162" s="961"/>
      <c r="M162" s="961"/>
      <c r="N162" s="1264"/>
      <c r="O162" s="1264"/>
      <c r="P162" s="837"/>
      <c r="Q162" s="899"/>
      <c r="R162" s="899"/>
      <c r="S162" s="899"/>
      <c r="T162" s="899"/>
      <c r="U162" s="899"/>
      <c r="V162" s="899"/>
    </row>
    <row r="163" spans="11:22" x14ac:dyDescent="0.2">
      <c r="K163" s="961"/>
      <c r="L163" s="961"/>
      <c r="M163" s="961"/>
      <c r="N163" s="1264"/>
      <c r="O163" s="1264"/>
      <c r="P163" s="837"/>
      <c r="Q163" s="899"/>
      <c r="R163" s="899"/>
      <c r="S163" s="899"/>
      <c r="T163" s="899"/>
      <c r="U163" s="899"/>
      <c r="V163" s="899"/>
    </row>
    <row r="164" spans="11:22" x14ac:dyDescent="0.2">
      <c r="K164" s="961"/>
      <c r="L164" s="961"/>
      <c r="M164" s="961"/>
      <c r="N164" s="1264"/>
      <c r="O164" s="1264"/>
      <c r="P164" s="837"/>
      <c r="Q164" s="899"/>
      <c r="R164" s="899"/>
      <c r="S164" s="899"/>
      <c r="T164" s="899"/>
      <c r="U164" s="899"/>
      <c r="V164" s="899"/>
    </row>
    <row r="165" spans="11:22" x14ac:dyDescent="0.2">
      <c r="K165" s="961"/>
      <c r="L165" s="961"/>
      <c r="M165" s="961"/>
      <c r="N165" s="1264"/>
      <c r="O165" s="1264"/>
      <c r="P165" s="837"/>
      <c r="Q165" s="899"/>
      <c r="R165" s="899"/>
      <c r="S165" s="899"/>
      <c r="T165" s="899"/>
      <c r="U165" s="899"/>
      <c r="V165" s="899"/>
    </row>
    <row r="166" spans="11:22" x14ac:dyDescent="0.2">
      <c r="K166" s="982"/>
      <c r="L166" s="982"/>
      <c r="M166" s="982"/>
      <c r="N166" s="982"/>
      <c r="O166" s="982"/>
      <c r="P166" s="837"/>
      <c r="Q166" s="899"/>
      <c r="R166" s="899"/>
      <c r="S166" s="899"/>
      <c r="T166" s="899"/>
      <c r="U166" s="899"/>
      <c r="V166" s="899"/>
    </row>
    <row r="167" spans="11:22" x14ac:dyDescent="0.2">
      <c r="K167" s="982"/>
      <c r="L167" s="982"/>
      <c r="M167" s="982"/>
      <c r="N167" s="982"/>
      <c r="O167" s="982"/>
      <c r="P167" s="837"/>
      <c r="Q167" s="899"/>
      <c r="R167" s="899"/>
      <c r="S167" s="899"/>
      <c r="T167" s="899"/>
      <c r="U167" s="899"/>
      <c r="V167" s="899"/>
    </row>
    <row r="168" spans="11:22" x14ac:dyDescent="0.2">
      <c r="K168" s="1265"/>
      <c r="L168" s="1265"/>
      <c r="M168" s="1265"/>
      <c r="N168" s="937"/>
      <c r="O168" s="937"/>
      <c r="P168" s="837"/>
      <c r="Q168" s="899"/>
      <c r="R168" s="899"/>
      <c r="S168" s="899"/>
      <c r="T168" s="899"/>
      <c r="U168" s="899"/>
      <c r="V168" s="899"/>
    </row>
    <row r="169" spans="11:22" x14ac:dyDescent="0.2">
      <c r="K169" s="1265"/>
      <c r="L169" s="1265"/>
      <c r="M169" s="1265"/>
      <c r="N169" s="937"/>
      <c r="O169" s="937"/>
      <c r="P169" s="837"/>
      <c r="Q169" s="899"/>
      <c r="R169" s="899"/>
      <c r="S169" s="899"/>
      <c r="T169" s="899"/>
      <c r="U169" s="899"/>
      <c r="V169" s="899"/>
    </row>
    <row r="170" spans="11:22" x14ac:dyDescent="0.2">
      <c r="K170" s="1265"/>
      <c r="L170" s="1265"/>
      <c r="M170" s="1265"/>
      <c r="N170" s="937"/>
      <c r="O170" s="937"/>
      <c r="P170" s="837"/>
      <c r="Q170" s="899"/>
      <c r="R170" s="899"/>
      <c r="S170" s="899"/>
      <c r="T170" s="899"/>
      <c r="U170" s="899"/>
      <c r="V170" s="899"/>
    </row>
    <row r="171" spans="11:22" x14ac:dyDescent="0.2">
      <c r="K171" s="1265"/>
      <c r="L171" s="1265"/>
      <c r="M171" s="1266"/>
      <c r="N171" s="937"/>
      <c r="O171" s="937"/>
      <c r="P171" s="837"/>
      <c r="Q171" s="899"/>
      <c r="R171" s="899"/>
      <c r="S171" s="899"/>
      <c r="T171" s="899"/>
      <c r="U171" s="899"/>
      <c r="V171" s="899"/>
    </row>
    <row r="172" spans="11:22" x14ac:dyDescent="0.2">
      <c r="K172" s="937"/>
      <c r="L172" s="937"/>
      <c r="M172" s="937"/>
      <c r="N172" s="937"/>
      <c r="O172" s="937"/>
      <c r="P172" s="837"/>
      <c r="Q172" s="899"/>
      <c r="R172" s="899"/>
      <c r="S172" s="899"/>
      <c r="T172" s="899"/>
      <c r="U172" s="899"/>
      <c r="V172" s="899"/>
    </row>
  </sheetData>
  <mergeCells count="4">
    <mergeCell ref="AQ2:AT2"/>
    <mergeCell ref="AU2:AU4"/>
    <mergeCell ref="BA2:BB2"/>
    <mergeCell ref="BD2:BE3"/>
  </mergeCells>
  <conditionalFormatting sqref="A1:BK1">
    <cfRule type="expression" dxfId="0" priority="1">
      <formula>ISBLANK(#REF!)</formula>
    </cfRule>
  </conditionalFormatting>
  <pageMargins left="0.7" right="0.7" top="0.78740157499999996" bottom="0.78740157499999996"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K22"/>
  <sheetViews>
    <sheetView workbookViewId="0">
      <selection activeCell="J26" sqref="J26"/>
    </sheetView>
  </sheetViews>
  <sheetFormatPr baseColWidth="10" defaultRowHeight="12.75" x14ac:dyDescent="0.2"/>
  <cols>
    <col min="1" max="1" width="3.28515625" customWidth="1"/>
    <col min="2" max="2" width="8.28515625" customWidth="1"/>
  </cols>
  <sheetData>
    <row r="2" spans="1:11" ht="33" customHeight="1" x14ac:dyDescent="0.2">
      <c r="A2" s="2403" t="s">
        <v>1101</v>
      </c>
      <c r="B2" s="2403"/>
      <c r="C2" s="2403"/>
      <c r="D2" s="2403"/>
      <c r="E2" s="2403"/>
      <c r="F2" s="2403"/>
      <c r="G2" s="2403"/>
      <c r="H2" s="2403"/>
    </row>
    <row r="4" spans="1:11" x14ac:dyDescent="0.2">
      <c r="A4" s="34" t="s">
        <v>1088</v>
      </c>
      <c r="C4" s="34" t="s">
        <v>1091</v>
      </c>
    </row>
    <row r="5" spans="1:11" x14ac:dyDescent="0.2">
      <c r="A5" s="34"/>
      <c r="C5" s="34" t="s">
        <v>1089</v>
      </c>
    </row>
    <row r="6" spans="1:11" x14ac:dyDescent="0.2">
      <c r="A6" s="34"/>
      <c r="C6" s="34" t="s">
        <v>1090</v>
      </c>
    </row>
    <row r="7" spans="1:11" x14ac:dyDescent="0.2">
      <c r="A7" s="34"/>
      <c r="C7" s="34" t="s">
        <v>1092</v>
      </c>
      <c r="K7" s="1557"/>
    </row>
    <row r="8" spans="1:11" x14ac:dyDescent="0.2">
      <c r="A8" s="34"/>
    </row>
    <row r="9" spans="1:11" x14ac:dyDescent="0.2">
      <c r="A9" s="1556" t="s">
        <v>1094</v>
      </c>
    </row>
    <row r="10" spans="1:11" ht="15" x14ac:dyDescent="0.2">
      <c r="A10" s="34"/>
      <c r="B10" s="2402" t="s">
        <v>1099</v>
      </c>
      <c r="C10" s="2402"/>
      <c r="D10" s="2402"/>
      <c r="E10" s="2402"/>
      <c r="F10" s="2402"/>
      <c r="G10" s="2402"/>
      <c r="H10" s="2402"/>
    </row>
    <row r="11" spans="1:11" x14ac:dyDescent="0.2">
      <c r="A11" s="34"/>
    </row>
    <row r="12" spans="1:11" ht="13.5" customHeight="1" x14ac:dyDescent="0.2">
      <c r="A12" s="1556" t="s">
        <v>1095</v>
      </c>
    </row>
    <row r="13" spans="1:11" ht="32.25" customHeight="1" x14ac:dyDescent="0.2">
      <c r="A13" s="34"/>
      <c r="B13" s="2401" t="s">
        <v>1097</v>
      </c>
      <c r="C13" s="2401"/>
      <c r="D13" s="2401"/>
      <c r="E13" s="2401"/>
      <c r="F13" s="2401"/>
      <c r="G13" s="2401"/>
      <c r="H13" s="2401"/>
    </row>
    <row r="14" spans="1:11" ht="53.25" customHeight="1" x14ac:dyDescent="0.2">
      <c r="A14" s="34"/>
      <c r="B14" s="2401" t="s">
        <v>1098</v>
      </c>
      <c r="C14" s="2401"/>
      <c r="D14" s="2401"/>
      <c r="E14" s="2401"/>
      <c r="F14" s="2401"/>
      <c r="G14" s="2401"/>
      <c r="H14" s="2401"/>
    </row>
    <row r="15" spans="1:11" ht="43.5" customHeight="1" x14ac:dyDescent="0.2">
      <c r="B15" s="2401" t="s">
        <v>1100</v>
      </c>
      <c r="C15" s="2401"/>
      <c r="D15" s="2401"/>
      <c r="E15" s="2401"/>
      <c r="F15" s="2401"/>
      <c r="G15" s="2401"/>
      <c r="H15" s="2401"/>
    </row>
    <row r="17" spans="1:2" x14ac:dyDescent="0.2">
      <c r="A17" s="1556" t="s">
        <v>1096</v>
      </c>
    </row>
    <row r="18" spans="1:2" x14ac:dyDescent="0.2">
      <c r="B18" s="34" t="s">
        <v>1093</v>
      </c>
    </row>
    <row r="20" spans="1:2" x14ac:dyDescent="0.2">
      <c r="A20" s="34"/>
    </row>
    <row r="21" spans="1:2" x14ac:dyDescent="0.2">
      <c r="A21" s="34"/>
    </row>
    <row r="22" spans="1:2" x14ac:dyDescent="0.2">
      <c r="A22" s="34"/>
    </row>
  </sheetData>
  <sheetProtection password="9758" sheet="1" objects="1" scenarios="1"/>
  <mergeCells count="5">
    <mergeCell ref="B13:H13"/>
    <mergeCell ref="B14:H14"/>
    <mergeCell ref="B15:H15"/>
    <mergeCell ref="B10:H10"/>
    <mergeCell ref="A2:H2"/>
  </mergeCell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2:G37"/>
  <sheetViews>
    <sheetView topLeftCell="A4" workbookViewId="0">
      <selection activeCell="H16" sqref="H16"/>
    </sheetView>
  </sheetViews>
  <sheetFormatPr baseColWidth="10" defaultRowHeight="12.75" x14ac:dyDescent="0.2"/>
  <sheetData>
    <row r="2" spans="1:7" ht="18" x14ac:dyDescent="0.25">
      <c r="A2" s="2404" t="s">
        <v>1120</v>
      </c>
      <c r="B2" s="2404"/>
      <c r="C2" s="2404"/>
      <c r="D2" s="2404"/>
      <c r="E2" s="2404"/>
      <c r="F2" s="2404"/>
      <c r="G2" s="2404"/>
    </row>
    <row r="15" spans="1:7" x14ac:dyDescent="0.2">
      <c r="A15" s="1556"/>
    </row>
    <row r="34" spans="2:2" x14ac:dyDescent="0.2">
      <c r="B34" s="34" t="s">
        <v>296</v>
      </c>
    </row>
    <row r="37" spans="2:2" x14ac:dyDescent="0.2">
      <c r="B37" t="s">
        <v>1250</v>
      </c>
    </row>
  </sheetData>
  <mergeCells count="1">
    <mergeCell ref="A2:G2"/>
  </mergeCell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I207"/>
  <sheetViews>
    <sheetView workbookViewId="0"/>
  </sheetViews>
  <sheetFormatPr baseColWidth="10" defaultRowHeight="12.75" outlineLevelRow="1" x14ac:dyDescent="0.2"/>
  <cols>
    <col min="1" max="1" width="28.7109375" style="1603" customWidth="1"/>
    <col min="2" max="2" width="11.85546875" style="1603" customWidth="1"/>
    <col min="3" max="3" width="5.140625" style="1604" customWidth="1"/>
    <col min="4" max="6" width="5.7109375" style="1603" customWidth="1"/>
    <col min="7" max="7" width="5.5703125" style="1605" customWidth="1"/>
    <col min="8" max="8" width="12.85546875" style="1606" customWidth="1"/>
    <col min="9" max="9" width="11.28515625" style="1606" customWidth="1"/>
    <col min="10" max="16384" width="11.42578125" style="463"/>
  </cols>
  <sheetData>
    <row r="1" spans="1:9" x14ac:dyDescent="0.2">
      <c r="A1" s="1602" t="s">
        <v>1127</v>
      </c>
    </row>
    <row r="2" spans="1:9" x14ac:dyDescent="0.2">
      <c r="A2" s="1603" t="s">
        <v>1128</v>
      </c>
    </row>
    <row r="3" spans="1:9" ht="13.5" thickBot="1" x14ac:dyDescent="0.25"/>
    <row r="4" spans="1:9" ht="16.5" customHeight="1" x14ac:dyDescent="0.2">
      <c r="A4" s="1607"/>
      <c r="B4" s="2405" t="s">
        <v>1129</v>
      </c>
      <c r="C4" s="1608" t="s">
        <v>221</v>
      </c>
      <c r="D4" s="2408" t="s">
        <v>1130</v>
      </c>
      <c r="E4" s="2409"/>
      <c r="F4" s="2410"/>
      <c r="G4" s="1609"/>
      <c r="H4" s="1610" t="s">
        <v>644</v>
      </c>
      <c r="I4" s="1611" t="s">
        <v>645</v>
      </c>
    </row>
    <row r="5" spans="1:9" ht="15" x14ac:dyDescent="0.25">
      <c r="A5" s="1612" t="s">
        <v>1131</v>
      </c>
      <c r="B5" s="2406"/>
      <c r="C5" s="1613" t="s">
        <v>225</v>
      </c>
      <c r="D5" s="1614" t="s">
        <v>652</v>
      </c>
      <c r="E5" s="1615"/>
      <c r="F5" s="1615"/>
      <c r="G5" s="1616" t="s">
        <v>672</v>
      </c>
      <c r="H5" s="1617" t="s">
        <v>674</v>
      </c>
      <c r="I5" s="1618" t="s">
        <v>675</v>
      </c>
    </row>
    <row r="6" spans="1:9" ht="15.75" thickBot="1" x14ac:dyDescent="0.3">
      <c r="A6" s="1619"/>
      <c r="B6" s="2407"/>
      <c r="C6" s="1620" t="s">
        <v>2</v>
      </c>
      <c r="D6" s="1621" t="s">
        <v>4</v>
      </c>
      <c r="E6" s="1622" t="s">
        <v>274</v>
      </c>
      <c r="F6" s="1622" t="s">
        <v>275</v>
      </c>
      <c r="G6" s="1623"/>
      <c r="H6" s="1624" t="s">
        <v>689</v>
      </c>
      <c r="I6" s="1625" t="s">
        <v>36</v>
      </c>
    </row>
    <row r="7" spans="1:9" x14ac:dyDescent="0.2">
      <c r="A7" s="1626" t="s">
        <v>1132</v>
      </c>
      <c r="B7" s="1627"/>
      <c r="C7" s="1608"/>
      <c r="D7" s="1628"/>
      <c r="E7" s="1629"/>
      <c r="F7" s="1629"/>
      <c r="G7" s="1630"/>
      <c r="H7" s="1631"/>
      <c r="I7" s="1632"/>
    </row>
    <row r="8" spans="1:9" x14ac:dyDescent="0.2">
      <c r="A8" s="1633" t="s">
        <v>698</v>
      </c>
      <c r="B8" s="1634" t="s">
        <v>702</v>
      </c>
      <c r="C8" s="1635">
        <v>86</v>
      </c>
      <c r="D8" s="1636">
        <v>1.81</v>
      </c>
      <c r="E8" s="1637">
        <v>0.8</v>
      </c>
      <c r="F8" s="1637">
        <v>0.55000000000000004</v>
      </c>
      <c r="G8" s="1638">
        <v>0.96</v>
      </c>
      <c r="H8" s="1639">
        <v>703.7</v>
      </c>
      <c r="I8" s="1640">
        <v>53</v>
      </c>
    </row>
    <row r="9" spans="1:9" x14ac:dyDescent="0.2">
      <c r="A9" s="1641" t="s">
        <v>704</v>
      </c>
      <c r="B9" s="1642" t="s">
        <v>702</v>
      </c>
      <c r="C9" s="1643">
        <v>86</v>
      </c>
      <c r="D9" s="1644">
        <v>2.11</v>
      </c>
      <c r="E9" s="1645">
        <v>0.8</v>
      </c>
      <c r="F9" s="1645">
        <v>0.55000000000000004</v>
      </c>
      <c r="G9" s="1646">
        <v>0.98</v>
      </c>
      <c r="H9" s="1647">
        <v>700.9</v>
      </c>
      <c r="I9" s="1648">
        <v>53</v>
      </c>
    </row>
    <row r="10" spans="1:9" x14ac:dyDescent="0.2">
      <c r="A10" s="1641" t="s">
        <v>1133</v>
      </c>
      <c r="B10" s="1642" t="s">
        <v>702</v>
      </c>
      <c r="C10" s="1643">
        <v>86</v>
      </c>
      <c r="D10" s="1644">
        <v>2.41</v>
      </c>
      <c r="E10" s="1645">
        <v>0.8</v>
      </c>
      <c r="F10" s="1645">
        <v>0.55000000000000004</v>
      </c>
      <c r="G10" s="1646">
        <v>0.98</v>
      </c>
      <c r="H10" s="1647">
        <v>700.9</v>
      </c>
      <c r="I10" s="1648">
        <v>53</v>
      </c>
    </row>
    <row r="11" spans="1:9" x14ac:dyDescent="0.2">
      <c r="A11" s="1641" t="s">
        <v>1134</v>
      </c>
      <c r="B11" s="1642" t="s">
        <v>702</v>
      </c>
      <c r="C11" s="1643">
        <v>86</v>
      </c>
      <c r="D11" s="1644">
        <v>1.81</v>
      </c>
      <c r="E11" s="1645">
        <v>0.75</v>
      </c>
      <c r="F11" s="1645">
        <v>0.55000000000000004</v>
      </c>
      <c r="G11" s="1646">
        <v>0.98</v>
      </c>
      <c r="H11" s="1647">
        <v>700.9</v>
      </c>
      <c r="I11" s="1648">
        <v>53</v>
      </c>
    </row>
    <row r="12" spans="1:9" x14ac:dyDescent="0.2">
      <c r="A12" s="1641" t="s">
        <v>706</v>
      </c>
      <c r="B12" s="1642" t="s">
        <v>702</v>
      </c>
      <c r="C12" s="1643">
        <v>86</v>
      </c>
      <c r="D12" s="1644">
        <v>2.11</v>
      </c>
      <c r="E12" s="1645">
        <v>0.75</v>
      </c>
      <c r="F12" s="1645">
        <v>0.55000000000000004</v>
      </c>
      <c r="G12" s="1646">
        <v>0.98</v>
      </c>
      <c r="H12" s="1647">
        <v>700.9</v>
      </c>
      <c r="I12" s="1648">
        <v>53</v>
      </c>
    </row>
    <row r="13" spans="1:9" x14ac:dyDescent="0.2">
      <c r="A13" s="1641" t="s">
        <v>1135</v>
      </c>
      <c r="B13" s="1642" t="s">
        <v>294</v>
      </c>
      <c r="C13" s="1643">
        <v>86</v>
      </c>
      <c r="D13" s="1644">
        <v>0.5</v>
      </c>
      <c r="E13" s="1645">
        <v>0.3</v>
      </c>
      <c r="F13" s="1645">
        <v>1.4</v>
      </c>
      <c r="G13" s="1646">
        <v>0.92</v>
      </c>
      <c r="H13" s="1647">
        <v>370.6</v>
      </c>
      <c r="I13" s="1648">
        <v>51</v>
      </c>
    </row>
    <row r="14" spans="1:9" x14ac:dyDescent="0.2">
      <c r="A14" s="1641" t="s">
        <v>1136</v>
      </c>
      <c r="B14" s="1642" t="s">
        <v>294</v>
      </c>
      <c r="C14" s="1643">
        <v>86</v>
      </c>
      <c r="D14" s="1644">
        <v>0.5</v>
      </c>
      <c r="E14" s="1645">
        <v>0.3</v>
      </c>
      <c r="F14" s="1645">
        <v>1.7</v>
      </c>
      <c r="G14" s="1646">
        <v>0.94</v>
      </c>
      <c r="H14" s="1647">
        <v>384.5</v>
      </c>
      <c r="I14" s="1648">
        <v>50</v>
      </c>
    </row>
    <row r="15" spans="1:9" x14ac:dyDescent="0.2">
      <c r="A15" s="1641" t="s">
        <v>709</v>
      </c>
      <c r="B15" s="1642" t="s">
        <v>702</v>
      </c>
      <c r="C15" s="1643">
        <v>86</v>
      </c>
      <c r="D15" s="1644">
        <v>1.65</v>
      </c>
      <c r="E15" s="1645">
        <v>0.8</v>
      </c>
      <c r="F15" s="1645">
        <v>0.6</v>
      </c>
      <c r="G15" s="1646">
        <v>0.98</v>
      </c>
      <c r="H15" s="1647">
        <v>684.4</v>
      </c>
      <c r="I15" s="1648">
        <v>53</v>
      </c>
    </row>
    <row r="16" spans="1:9" x14ac:dyDescent="0.2">
      <c r="A16" s="1641" t="s">
        <v>1137</v>
      </c>
      <c r="B16" s="1642" t="s">
        <v>702</v>
      </c>
      <c r="C16" s="1643">
        <v>86</v>
      </c>
      <c r="D16" s="1644">
        <v>1.51</v>
      </c>
      <c r="E16" s="1645">
        <v>0.8</v>
      </c>
      <c r="F16" s="1645">
        <v>0.6</v>
      </c>
      <c r="G16" s="1646">
        <v>0.98</v>
      </c>
      <c r="H16" s="1647">
        <v>684.4</v>
      </c>
      <c r="I16" s="1648">
        <v>53</v>
      </c>
    </row>
    <row r="17" spans="1:9" x14ac:dyDescent="0.2">
      <c r="A17" s="1641" t="s">
        <v>712</v>
      </c>
      <c r="B17" s="1642" t="s">
        <v>702</v>
      </c>
      <c r="C17" s="1643">
        <v>86</v>
      </c>
      <c r="D17" s="1644">
        <v>1.65</v>
      </c>
      <c r="E17" s="1645">
        <v>0.8</v>
      </c>
      <c r="F17" s="1645">
        <v>0.6</v>
      </c>
      <c r="G17" s="1646">
        <v>0.98</v>
      </c>
      <c r="H17" s="1647">
        <v>680.1</v>
      </c>
      <c r="I17" s="1648">
        <v>53</v>
      </c>
    </row>
    <row r="18" spans="1:9" x14ac:dyDescent="0.2">
      <c r="A18" s="1641" t="s">
        <v>1138</v>
      </c>
      <c r="B18" s="1642" t="s">
        <v>702</v>
      </c>
      <c r="C18" s="1643">
        <v>86</v>
      </c>
      <c r="D18" s="1644">
        <v>1.38</v>
      </c>
      <c r="E18" s="1645">
        <v>0.8</v>
      </c>
      <c r="F18" s="1645">
        <v>0.6</v>
      </c>
      <c r="G18" s="1646">
        <v>0.98</v>
      </c>
      <c r="H18" s="1647">
        <v>684.4</v>
      </c>
      <c r="I18" s="1648">
        <v>53</v>
      </c>
    </row>
    <row r="19" spans="1:9" x14ac:dyDescent="0.2">
      <c r="A19" s="1641" t="s">
        <v>715</v>
      </c>
      <c r="B19" s="1642" t="s">
        <v>702</v>
      </c>
      <c r="C19" s="1643">
        <v>86</v>
      </c>
      <c r="D19" s="1644">
        <v>1.51</v>
      </c>
      <c r="E19" s="1645">
        <v>0.8</v>
      </c>
      <c r="F19" s="1645">
        <v>0.6</v>
      </c>
      <c r="G19" s="1646">
        <v>0.98</v>
      </c>
      <c r="H19" s="1647">
        <v>705.9</v>
      </c>
      <c r="I19" s="1648">
        <v>52</v>
      </c>
    </row>
    <row r="20" spans="1:9" x14ac:dyDescent="0.2">
      <c r="A20" s="1641" t="s">
        <v>1139</v>
      </c>
      <c r="B20" s="1642" t="s">
        <v>294</v>
      </c>
      <c r="C20" s="1643">
        <v>86</v>
      </c>
      <c r="D20" s="1644">
        <v>0.5</v>
      </c>
      <c r="E20" s="1645">
        <v>0.3</v>
      </c>
      <c r="F20" s="1645">
        <v>2</v>
      </c>
      <c r="G20" s="1646">
        <v>0.94</v>
      </c>
      <c r="H20" s="1647">
        <v>351.5</v>
      </c>
      <c r="I20" s="1648">
        <v>51</v>
      </c>
    </row>
    <row r="21" spans="1:9" x14ac:dyDescent="0.2">
      <c r="A21" s="1641" t="s">
        <v>1140</v>
      </c>
      <c r="B21" s="1642" t="s">
        <v>702</v>
      </c>
      <c r="C21" s="1643">
        <v>86</v>
      </c>
      <c r="D21" s="1644">
        <v>1.51</v>
      </c>
      <c r="E21" s="1645">
        <v>0.8</v>
      </c>
      <c r="F21" s="1645">
        <v>0.6</v>
      </c>
      <c r="G21" s="1646">
        <v>0.98</v>
      </c>
      <c r="H21" s="1647">
        <v>705.9</v>
      </c>
      <c r="I21" s="1648">
        <v>52</v>
      </c>
    </row>
    <row r="22" spans="1:9" x14ac:dyDescent="0.2">
      <c r="A22" s="1641" t="s">
        <v>718</v>
      </c>
      <c r="B22" s="1642" t="s">
        <v>702</v>
      </c>
      <c r="C22" s="1643">
        <v>86</v>
      </c>
      <c r="D22" s="1644">
        <v>1.51</v>
      </c>
      <c r="E22" s="1645">
        <v>0.8</v>
      </c>
      <c r="F22" s="1645">
        <v>0.6</v>
      </c>
      <c r="G22" s="1646">
        <v>0.97</v>
      </c>
      <c r="H22" s="1647">
        <v>596.1</v>
      </c>
      <c r="I22" s="1648">
        <v>54</v>
      </c>
    </row>
    <row r="23" spans="1:9" x14ac:dyDescent="0.2">
      <c r="A23" s="1641" t="s">
        <v>1141</v>
      </c>
      <c r="B23" s="1642" t="s">
        <v>294</v>
      </c>
      <c r="C23" s="1643">
        <v>86</v>
      </c>
      <c r="D23" s="1644">
        <v>0.5</v>
      </c>
      <c r="E23" s="1645">
        <v>0.3</v>
      </c>
      <c r="F23" s="1645">
        <v>1.7</v>
      </c>
      <c r="G23" s="1646">
        <v>0.94</v>
      </c>
      <c r="H23" s="1647">
        <v>390.1</v>
      </c>
      <c r="I23" s="1648">
        <v>51</v>
      </c>
    </row>
    <row r="24" spans="1:9" x14ac:dyDescent="0.2">
      <c r="A24" s="1641" t="s">
        <v>720</v>
      </c>
      <c r="B24" s="1642" t="s">
        <v>702</v>
      </c>
      <c r="C24" s="1643">
        <v>86</v>
      </c>
      <c r="D24" s="1644">
        <v>1.65</v>
      </c>
      <c r="E24" s="1645">
        <v>0.8</v>
      </c>
      <c r="F24" s="1645">
        <v>0.6</v>
      </c>
      <c r="G24" s="1646">
        <v>0.98</v>
      </c>
      <c r="H24" s="1647">
        <v>694.6</v>
      </c>
      <c r="I24" s="1648">
        <v>52</v>
      </c>
    </row>
    <row r="25" spans="1:9" x14ac:dyDescent="0.2">
      <c r="A25" s="1641" t="s">
        <v>722</v>
      </c>
      <c r="B25" s="1642" t="s">
        <v>702</v>
      </c>
      <c r="C25" s="1643">
        <v>86</v>
      </c>
      <c r="D25" s="1644">
        <v>1.65</v>
      </c>
      <c r="E25" s="1645">
        <v>0.8</v>
      </c>
      <c r="F25" s="1645">
        <v>0.8</v>
      </c>
      <c r="G25" s="1646">
        <v>0.97</v>
      </c>
      <c r="H25" s="1647">
        <v>596.1</v>
      </c>
      <c r="I25" s="1648">
        <v>54</v>
      </c>
    </row>
    <row r="26" spans="1:9" x14ac:dyDescent="0.2">
      <c r="A26" s="1641" t="s">
        <v>1142</v>
      </c>
      <c r="B26" s="1642" t="s">
        <v>702</v>
      </c>
      <c r="C26" s="1643">
        <v>86</v>
      </c>
      <c r="D26" s="1644">
        <v>1.81</v>
      </c>
      <c r="E26" s="1645">
        <v>0.75</v>
      </c>
      <c r="F26" s="1645">
        <v>0.55000000000000004</v>
      </c>
      <c r="G26" s="1646">
        <v>0.98</v>
      </c>
      <c r="H26" s="1647">
        <v>684.4</v>
      </c>
      <c r="I26" s="1648">
        <v>53</v>
      </c>
    </row>
    <row r="27" spans="1:9" x14ac:dyDescent="0.2">
      <c r="A27" s="1641" t="s">
        <v>1143</v>
      </c>
      <c r="B27" s="1642" t="s">
        <v>702</v>
      </c>
      <c r="C27" s="1643">
        <v>86</v>
      </c>
      <c r="D27" s="1644">
        <v>1.81</v>
      </c>
      <c r="E27" s="1645">
        <v>0.8</v>
      </c>
      <c r="F27" s="1645">
        <v>0.6</v>
      </c>
      <c r="G27" s="1646">
        <v>0.98</v>
      </c>
      <c r="H27" s="1647">
        <v>700.9</v>
      </c>
      <c r="I27" s="1648">
        <v>53</v>
      </c>
    </row>
    <row r="28" spans="1:9" x14ac:dyDescent="0.2">
      <c r="A28" s="1641" t="s">
        <v>724</v>
      </c>
      <c r="B28" s="1642" t="s">
        <v>294</v>
      </c>
      <c r="C28" s="1643">
        <v>86</v>
      </c>
      <c r="D28" s="1644">
        <v>0.9</v>
      </c>
      <c r="E28" s="1645">
        <v>0.2</v>
      </c>
      <c r="F28" s="1645">
        <v>2</v>
      </c>
      <c r="G28" s="1646">
        <v>0.96</v>
      </c>
      <c r="H28" s="1647">
        <v>619</v>
      </c>
      <c r="I28" s="1648">
        <v>53</v>
      </c>
    </row>
    <row r="29" spans="1:9" x14ac:dyDescent="0.2">
      <c r="A29" s="1649" t="s">
        <v>726</v>
      </c>
      <c r="B29" s="1650" t="s">
        <v>702</v>
      </c>
      <c r="C29" s="1651">
        <v>86</v>
      </c>
      <c r="D29" s="1652">
        <v>1.38</v>
      </c>
      <c r="E29" s="1653">
        <v>0.8</v>
      </c>
      <c r="F29" s="1653">
        <v>0.5</v>
      </c>
      <c r="G29" s="1654">
        <v>0.98</v>
      </c>
      <c r="H29" s="1655">
        <v>691</v>
      </c>
      <c r="I29" s="1656">
        <v>53</v>
      </c>
    </row>
    <row r="30" spans="1:9" x14ac:dyDescent="0.2">
      <c r="A30" s="1657" t="s">
        <v>1144</v>
      </c>
      <c r="B30" s="1658"/>
      <c r="C30" s="1659"/>
      <c r="D30" s="1660"/>
      <c r="E30" s="1661"/>
      <c r="F30" s="1661"/>
      <c r="G30" s="1662" t="s">
        <v>708</v>
      </c>
      <c r="H30" s="1663" t="s">
        <v>708</v>
      </c>
      <c r="I30" s="1664" t="s">
        <v>708</v>
      </c>
    </row>
    <row r="31" spans="1:9" outlineLevel="1" x14ac:dyDescent="0.2">
      <c r="A31" s="1633" t="s">
        <v>1145</v>
      </c>
      <c r="B31" s="1634" t="s">
        <v>702</v>
      </c>
      <c r="C31" s="1635">
        <v>86</v>
      </c>
      <c r="D31" s="1636">
        <v>4.0999999999999996</v>
      </c>
      <c r="E31" s="1637">
        <v>1.2</v>
      </c>
      <c r="F31" s="1637">
        <v>1.4</v>
      </c>
      <c r="G31" s="1638">
        <v>0.96</v>
      </c>
      <c r="H31" s="1639">
        <v>696.7</v>
      </c>
      <c r="I31" s="1640">
        <v>56.000000000000007</v>
      </c>
    </row>
    <row r="32" spans="1:9" outlineLevel="1" x14ac:dyDescent="0.2">
      <c r="A32" s="1641" t="s">
        <v>1146</v>
      </c>
      <c r="B32" s="1642" t="s">
        <v>702</v>
      </c>
      <c r="C32" s="1643">
        <v>86</v>
      </c>
      <c r="D32" s="1644">
        <v>3.6</v>
      </c>
      <c r="E32" s="1645">
        <v>1.1000000000000001</v>
      </c>
      <c r="F32" s="1645">
        <v>1.4</v>
      </c>
      <c r="G32" s="1646">
        <v>0.96</v>
      </c>
      <c r="H32" s="1647">
        <v>698.8</v>
      </c>
      <c r="I32" s="1648">
        <v>55.000000000000007</v>
      </c>
    </row>
    <row r="33" spans="1:9" outlineLevel="1" x14ac:dyDescent="0.2">
      <c r="A33" s="1641" t="s">
        <v>1147</v>
      </c>
      <c r="B33" s="1642" t="s">
        <v>702</v>
      </c>
      <c r="C33" s="1643">
        <v>86</v>
      </c>
      <c r="D33" s="1644">
        <v>4.4800000000000004</v>
      </c>
      <c r="E33" s="1645">
        <v>1.02</v>
      </c>
      <c r="F33" s="1645">
        <v>0.99</v>
      </c>
      <c r="G33" s="1646">
        <v>0.96</v>
      </c>
      <c r="H33" s="1647">
        <v>716.7</v>
      </c>
      <c r="I33" s="1648">
        <v>60</v>
      </c>
    </row>
    <row r="34" spans="1:9" outlineLevel="1" x14ac:dyDescent="0.2">
      <c r="A34" s="1649" t="s">
        <v>1148</v>
      </c>
      <c r="B34" s="1650" t="s">
        <v>702</v>
      </c>
      <c r="C34" s="1651">
        <v>86</v>
      </c>
      <c r="D34" s="1652">
        <v>4.4000000000000004</v>
      </c>
      <c r="E34" s="1653">
        <v>1.5</v>
      </c>
      <c r="F34" s="1653">
        <v>1.7</v>
      </c>
      <c r="G34" s="1654">
        <v>0.95</v>
      </c>
      <c r="H34" s="1655">
        <v>734</v>
      </c>
      <c r="I34" s="1656">
        <v>64</v>
      </c>
    </row>
    <row r="35" spans="1:9" x14ac:dyDescent="0.2">
      <c r="A35" s="1657" t="s">
        <v>1149</v>
      </c>
      <c r="B35" s="1665"/>
      <c r="C35" s="1666"/>
      <c r="D35" s="1667"/>
      <c r="E35" s="1668"/>
      <c r="F35" s="1667"/>
      <c r="G35" s="1669"/>
      <c r="H35" s="1670"/>
      <c r="I35" s="1671"/>
    </row>
    <row r="36" spans="1:9" outlineLevel="1" x14ac:dyDescent="0.2">
      <c r="A36" s="1633" t="s">
        <v>1150</v>
      </c>
      <c r="B36" s="1634" t="s">
        <v>702</v>
      </c>
      <c r="C36" s="1635">
        <v>91</v>
      </c>
      <c r="D36" s="1672">
        <v>3.35</v>
      </c>
      <c r="E36" s="1637">
        <v>1.8</v>
      </c>
      <c r="F36" s="1672">
        <v>1</v>
      </c>
      <c r="G36" s="1638">
        <v>0.96</v>
      </c>
      <c r="H36" s="1639">
        <v>766.5</v>
      </c>
      <c r="I36" s="1640">
        <v>66</v>
      </c>
    </row>
    <row r="37" spans="1:9" outlineLevel="1" x14ac:dyDescent="0.2">
      <c r="A37" s="1641" t="s">
        <v>1151</v>
      </c>
      <c r="B37" s="1642" t="s">
        <v>702</v>
      </c>
      <c r="C37" s="1643">
        <v>91</v>
      </c>
      <c r="D37" s="1673">
        <v>3.35</v>
      </c>
      <c r="E37" s="1645">
        <v>1.8</v>
      </c>
      <c r="F37" s="1673">
        <v>1</v>
      </c>
      <c r="G37" s="1646">
        <v>0.96</v>
      </c>
      <c r="H37" s="1647">
        <v>766.5</v>
      </c>
      <c r="I37" s="1648">
        <v>66</v>
      </c>
    </row>
    <row r="38" spans="1:9" outlineLevel="1" x14ac:dyDescent="0.2">
      <c r="A38" s="1641" t="s">
        <v>1152</v>
      </c>
      <c r="B38" s="1642" t="s">
        <v>702</v>
      </c>
      <c r="C38" s="1643">
        <v>91</v>
      </c>
      <c r="D38" s="1673">
        <v>3.35</v>
      </c>
      <c r="E38" s="1645">
        <v>1.8</v>
      </c>
      <c r="F38" s="1673">
        <v>1</v>
      </c>
      <c r="G38" s="1646">
        <v>0.96</v>
      </c>
      <c r="H38" s="1647">
        <v>766.5</v>
      </c>
      <c r="I38" s="1648">
        <v>66</v>
      </c>
    </row>
    <row r="39" spans="1:9" outlineLevel="1" x14ac:dyDescent="0.2">
      <c r="A39" s="1641" t="s">
        <v>1153</v>
      </c>
      <c r="B39" s="1642" t="s">
        <v>702</v>
      </c>
      <c r="C39" s="1643">
        <v>91</v>
      </c>
      <c r="D39" s="1673">
        <v>2.91</v>
      </c>
      <c r="E39" s="1645">
        <v>1.6</v>
      </c>
      <c r="F39" s="1673">
        <v>2.4</v>
      </c>
      <c r="G39" s="1646">
        <v>0.97</v>
      </c>
      <c r="H39" s="1647">
        <v>699.4</v>
      </c>
      <c r="I39" s="1648">
        <v>64</v>
      </c>
    </row>
    <row r="40" spans="1:9" outlineLevel="1" x14ac:dyDescent="0.2">
      <c r="A40" s="1641" t="s">
        <v>1154</v>
      </c>
      <c r="B40" s="1642" t="s">
        <v>702</v>
      </c>
      <c r="C40" s="1643">
        <v>91</v>
      </c>
      <c r="D40" s="1673">
        <v>3.5</v>
      </c>
      <c r="E40" s="1645">
        <v>1.2</v>
      </c>
      <c r="F40" s="1673">
        <v>1</v>
      </c>
      <c r="G40" s="1646">
        <v>0.95</v>
      </c>
      <c r="H40" s="1647">
        <v>785.1</v>
      </c>
      <c r="I40" s="1648">
        <v>64</v>
      </c>
    </row>
    <row r="41" spans="1:9" outlineLevel="1" x14ac:dyDescent="0.2">
      <c r="A41" s="1649" t="s">
        <v>1155</v>
      </c>
      <c r="B41" s="1650" t="s">
        <v>702</v>
      </c>
      <c r="C41" s="1651">
        <v>91</v>
      </c>
      <c r="D41" s="1674">
        <v>3.5</v>
      </c>
      <c r="E41" s="1653">
        <v>1.2</v>
      </c>
      <c r="F41" s="1674">
        <v>1</v>
      </c>
      <c r="G41" s="1654">
        <v>0.95</v>
      </c>
      <c r="H41" s="1655">
        <v>785.1</v>
      </c>
      <c r="I41" s="1656">
        <v>64</v>
      </c>
    </row>
    <row r="42" spans="1:9" x14ac:dyDescent="0.2">
      <c r="A42" s="1657" t="s">
        <v>731</v>
      </c>
      <c r="B42" s="1658"/>
      <c r="C42" s="1659"/>
      <c r="D42" s="1675"/>
      <c r="E42" s="1661"/>
      <c r="F42" s="1675"/>
      <c r="G42" s="1662" t="s">
        <v>708</v>
      </c>
      <c r="H42" s="1663" t="s">
        <v>708</v>
      </c>
      <c r="I42" s="1664" t="s">
        <v>708</v>
      </c>
    </row>
    <row r="43" spans="1:9" outlineLevel="1" x14ac:dyDescent="0.2">
      <c r="A43" s="1633" t="s">
        <v>1156</v>
      </c>
      <c r="B43" s="1634" t="s">
        <v>733</v>
      </c>
      <c r="C43" s="1635">
        <v>22</v>
      </c>
      <c r="D43" s="1672">
        <v>0.35</v>
      </c>
      <c r="E43" s="1637">
        <v>0.14000000000000001</v>
      </c>
      <c r="F43" s="1672">
        <v>0.6</v>
      </c>
      <c r="G43" s="1638">
        <v>0.94</v>
      </c>
      <c r="H43" s="1639">
        <v>727.5</v>
      </c>
      <c r="I43" s="1640">
        <v>52</v>
      </c>
    </row>
    <row r="44" spans="1:9" outlineLevel="1" x14ac:dyDescent="0.2">
      <c r="A44" s="1641" t="s">
        <v>1157</v>
      </c>
      <c r="B44" s="1642" t="s">
        <v>733</v>
      </c>
      <c r="C44" s="1643">
        <v>22</v>
      </c>
      <c r="D44" s="1673">
        <v>0.35</v>
      </c>
      <c r="E44" s="1645">
        <v>0.14000000000000001</v>
      </c>
      <c r="F44" s="1673">
        <v>0.6</v>
      </c>
      <c r="G44" s="1646">
        <v>0.94</v>
      </c>
      <c r="H44" s="1647">
        <v>727.5</v>
      </c>
      <c r="I44" s="1648">
        <v>52</v>
      </c>
    </row>
    <row r="45" spans="1:9" outlineLevel="1" x14ac:dyDescent="0.2">
      <c r="A45" s="1641" t="s">
        <v>1158</v>
      </c>
      <c r="B45" s="1642" t="s">
        <v>733</v>
      </c>
      <c r="C45" s="1643">
        <v>22</v>
      </c>
      <c r="D45" s="1673">
        <v>0.35</v>
      </c>
      <c r="E45" s="1645">
        <v>0.14000000000000001</v>
      </c>
      <c r="F45" s="1673">
        <v>0.6</v>
      </c>
      <c r="G45" s="1646">
        <v>0.94</v>
      </c>
      <c r="H45" s="1647">
        <v>727.5</v>
      </c>
      <c r="I45" s="1648">
        <v>52</v>
      </c>
    </row>
    <row r="46" spans="1:9" outlineLevel="1" x14ac:dyDescent="0.2">
      <c r="A46" s="1641" t="s">
        <v>735</v>
      </c>
      <c r="B46" s="1642" t="s">
        <v>737</v>
      </c>
      <c r="C46" s="1643">
        <v>23</v>
      </c>
      <c r="D46" s="1673">
        <v>0.18</v>
      </c>
      <c r="E46" s="1645">
        <v>0.1</v>
      </c>
      <c r="F46" s="1673">
        <v>0.25</v>
      </c>
      <c r="G46" s="1646">
        <v>0.92</v>
      </c>
      <c r="H46" s="1647">
        <v>679.4</v>
      </c>
      <c r="I46" s="1648">
        <v>51</v>
      </c>
    </row>
    <row r="47" spans="1:9" outlineLevel="1" x14ac:dyDescent="0.2">
      <c r="A47" s="1641" t="s">
        <v>1159</v>
      </c>
      <c r="B47" s="1642" t="s">
        <v>1160</v>
      </c>
      <c r="C47" s="1643">
        <v>18</v>
      </c>
      <c r="D47" s="1673">
        <v>0.4</v>
      </c>
      <c r="E47" s="1645">
        <v>0.11</v>
      </c>
      <c r="F47" s="1673">
        <v>0.71</v>
      </c>
      <c r="G47" s="1646">
        <v>0.84</v>
      </c>
      <c r="H47" s="1647">
        <v>637</v>
      </c>
      <c r="I47" s="1648">
        <v>54</v>
      </c>
    </row>
    <row r="48" spans="1:9" outlineLevel="1" x14ac:dyDescent="0.2">
      <c r="A48" s="1641" t="s">
        <v>739</v>
      </c>
      <c r="B48" s="1642" t="s">
        <v>737</v>
      </c>
      <c r="C48" s="1643">
        <v>15</v>
      </c>
      <c r="D48" s="1673">
        <v>0.18</v>
      </c>
      <c r="E48" s="1645">
        <v>0.09</v>
      </c>
      <c r="F48" s="1673">
        <v>0.5</v>
      </c>
      <c r="G48" s="1646">
        <v>0.91</v>
      </c>
      <c r="H48" s="1647">
        <v>685.2</v>
      </c>
      <c r="I48" s="1648">
        <v>51</v>
      </c>
    </row>
    <row r="49" spans="1:9" outlineLevel="1" x14ac:dyDescent="0.2">
      <c r="A49" s="1649" t="s">
        <v>1161</v>
      </c>
      <c r="B49" s="1650" t="s">
        <v>737</v>
      </c>
      <c r="C49" s="1651">
        <v>12</v>
      </c>
      <c r="D49" s="1674">
        <v>0.14000000000000001</v>
      </c>
      <c r="E49" s="1653">
        <v>7.0000000000000007E-2</v>
      </c>
      <c r="F49" s="1674">
        <v>0.45</v>
      </c>
      <c r="G49" s="1654">
        <v>0.88</v>
      </c>
      <c r="H49" s="1655">
        <v>702.3</v>
      </c>
      <c r="I49" s="1656">
        <v>53</v>
      </c>
    </row>
    <row r="50" spans="1:9" x14ac:dyDescent="0.2">
      <c r="A50" s="1657" t="s">
        <v>742</v>
      </c>
      <c r="B50" s="1658"/>
      <c r="C50" s="1659"/>
      <c r="D50" s="1675"/>
      <c r="E50" s="1661"/>
      <c r="F50" s="1675"/>
      <c r="G50" s="1662" t="s">
        <v>708</v>
      </c>
      <c r="H50" s="1663" t="s">
        <v>708</v>
      </c>
      <c r="I50" s="1664" t="s">
        <v>708</v>
      </c>
    </row>
    <row r="51" spans="1:9" x14ac:dyDescent="0.2">
      <c r="A51" s="1641" t="s">
        <v>1162</v>
      </c>
      <c r="B51" s="1642" t="s">
        <v>730</v>
      </c>
      <c r="C51" s="1643">
        <v>20</v>
      </c>
      <c r="D51" s="1673">
        <v>0.65</v>
      </c>
      <c r="E51" s="1645">
        <v>0.14000000000000001</v>
      </c>
      <c r="F51" s="1673">
        <v>0.65</v>
      </c>
      <c r="G51" s="1646">
        <v>0.88</v>
      </c>
      <c r="H51" s="1647">
        <v>548.70000000000005</v>
      </c>
      <c r="I51" s="1648">
        <v>55.000000000000007</v>
      </c>
    </row>
    <row r="52" spans="1:9" x14ac:dyDescent="0.2">
      <c r="A52" s="1641" t="s">
        <v>743</v>
      </c>
      <c r="B52" s="1642" t="s">
        <v>730</v>
      </c>
      <c r="C52" s="1643">
        <v>20</v>
      </c>
      <c r="D52" s="1673">
        <v>0.52</v>
      </c>
      <c r="E52" s="1645">
        <v>0.16</v>
      </c>
      <c r="F52" s="1673">
        <v>0.65</v>
      </c>
      <c r="G52" s="1646">
        <v>0.87</v>
      </c>
      <c r="H52" s="1647">
        <v>595.5</v>
      </c>
      <c r="I52" s="1648">
        <v>55.000000000000007</v>
      </c>
    </row>
    <row r="53" spans="1:9" x14ac:dyDescent="0.2">
      <c r="A53" s="1641" t="s">
        <v>746</v>
      </c>
      <c r="B53" s="1642" t="s">
        <v>730</v>
      </c>
      <c r="C53" s="1643">
        <v>20</v>
      </c>
      <c r="D53" s="1673">
        <v>0.53</v>
      </c>
      <c r="E53" s="1645">
        <v>0.16</v>
      </c>
      <c r="F53" s="1673">
        <v>0.72</v>
      </c>
      <c r="G53" s="1646">
        <v>0.87</v>
      </c>
      <c r="H53" s="1647">
        <v>595.5</v>
      </c>
      <c r="I53" s="1648">
        <v>55.000000000000007</v>
      </c>
    </row>
    <row r="54" spans="1:9" x14ac:dyDescent="0.2">
      <c r="A54" s="1641" t="s">
        <v>748</v>
      </c>
      <c r="B54" s="1642" t="s">
        <v>730</v>
      </c>
      <c r="C54" s="1643">
        <v>20</v>
      </c>
      <c r="D54" s="1673">
        <v>0.56000000000000005</v>
      </c>
      <c r="E54" s="1645">
        <v>0.15</v>
      </c>
      <c r="F54" s="1673">
        <v>0.67</v>
      </c>
      <c r="G54" s="1646">
        <v>0.87</v>
      </c>
      <c r="H54" s="1647">
        <v>573.79999999999995</v>
      </c>
      <c r="I54" s="1648">
        <v>55.000000000000007</v>
      </c>
    </row>
    <row r="55" spans="1:9" x14ac:dyDescent="0.2">
      <c r="A55" s="1641" t="s">
        <v>751</v>
      </c>
      <c r="B55" s="1642" t="s">
        <v>730</v>
      </c>
      <c r="C55" s="1643">
        <v>20</v>
      </c>
      <c r="D55" s="1673">
        <v>0.57999999999999996</v>
      </c>
      <c r="E55" s="1645">
        <v>0.14000000000000001</v>
      </c>
      <c r="F55" s="1673">
        <v>0.65</v>
      </c>
      <c r="G55" s="1646">
        <v>0.87</v>
      </c>
      <c r="H55" s="1647">
        <v>573.79999999999995</v>
      </c>
      <c r="I55" s="1648">
        <v>55.000000000000007</v>
      </c>
    </row>
    <row r="56" spans="1:9" x14ac:dyDescent="0.2">
      <c r="A56" s="1641" t="s">
        <v>753</v>
      </c>
      <c r="B56" s="1642" t="s">
        <v>730</v>
      </c>
      <c r="C56" s="1643">
        <v>20</v>
      </c>
      <c r="D56" s="1673">
        <v>0.61</v>
      </c>
      <c r="E56" s="1645">
        <v>0.14000000000000001</v>
      </c>
      <c r="F56" s="1673">
        <v>0.65</v>
      </c>
      <c r="G56" s="1646">
        <v>0.87</v>
      </c>
      <c r="H56" s="1647">
        <v>573.79999999999995</v>
      </c>
      <c r="I56" s="1648">
        <v>55.000000000000007</v>
      </c>
    </row>
    <row r="57" spans="1:9" x14ac:dyDescent="0.2">
      <c r="A57" s="1641" t="s">
        <v>755</v>
      </c>
      <c r="B57" s="1642" t="s">
        <v>730</v>
      </c>
      <c r="C57" s="1643">
        <v>20</v>
      </c>
      <c r="D57" s="1673">
        <v>0.56000000000000005</v>
      </c>
      <c r="E57" s="1645">
        <v>0.15</v>
      </c>
      <c r="F57" s="1673">
        <v>0.65</v>
      </c>
      <c r="G57" s="1646">
        <v>0.89</v>
      </c>
      <c r="H57" s="1647">
        <v>493.4</v>
      </c>
      <c r="I57" s="1648">
        <v>55.000000000000007</v>
      </c>
    </row>
    <row r="58" spans="1:9" x14ac:dyDescent="0.2">
      <c r="A58" s="1641" t="s">
        <v>758</v>
      </c>
      <c r="B58" s="1642" t="s">
        <v>730</v>
      </c>
      <c r="C58" s="1643">
        <v>20</v>
      </c>
      <c r="D58" s="1673">
        <v>0.57999999999999996</v>
      </c>
      <c r="E58" s="1645">
        <v>0.15</v>
      </c>
      <c r="F58" s="1673">
        <v>0.65</v>
      </c>
      <c r="G58" s="1646">
        <v>0.89</v>
      </c>
      <c r="H58" s="1647">
        <v>493.4</v>
      </c>
      <c r="I58" s="1648">
        <v>55.000000000000007</v>
      </c>
    </row>
    <row r="59" spans="1:9" x14ac:dyDescent="0.2">
      <c r="A59" s="1641" t="s">
        <v>760</v>
      </c>
      <c r="B59" s="1642" t="s">
        <v>730</v>
      </c>
      <c r="C59" s="1643">
        <v>20</v>
      </c>
      <c r="D59" s="1673">
        <v>0.61</v>
      </c>
      <c r="E59" s="1645">
        <v>0.14000000000000001</v>
      </c>
      <c r="F59" s="1673">
        <v>0.65</v>
      </c>
      <c r="G59" s="1646">
        <v>0.89</v>
      </c>
      <c r="H59" s="1647">
        <v>493.4</v>
      </c>
      <c r="I59" s="1648">
        <v>55.000000000000007</v>
      </c>
    </row>
    <row r="60" spans="1:9" x14ac:dyDescent="0.2">
      <c r="A60" s="1676" t="s">
        <v>762</v>
      </c>
      <c r="B60" s="1642" t="s">
        <v>730</v>
      </c>
      <c r="C60" s="1643">
        <v>20</v>
      </c>
      <c r="D60" s="1673">
        <v>0.65</v>
      </c>
      <c r="E60" s="1645">
        <v>0.13</v>
      </c>
      <c r="F60" s="1673">
        <v>0.65</v>
      </c>
      <c r="G60" s="1646">
        <v>0.89</v>
      </c>
      <c r="H60" s="1647">
        <v>517.1</v>
      </c>
      <c r="I60" s="1648">
        <v>55.000000000000007</v>
      </c>
    </row>
    <row r="61" spans="1:9" x14ac:dyDescent="0.2">
      <c r="A61" s="1676" t="s">
        <v>765</v>
      </c>
      <c r="B61" s="1642" t="s">
        <v>730</v>
      </c>
      <c r="C61" s="1643">
        <v>20</v>
      </c>
      <c r="D61" s="1673">
        <v>0.65</v>
      </c>
      <c r="E61" s="1645">
        <v>0.14000000000000001</v>
      </c>
      <c r="F61" s="1673">
        <v>0.65</v>
      </c>
      <c r="G61" s="1646">
        <v>0.89</v>
      </c>
      <c r="H61" s="1647">
        <v>458.6</v>
      </c>
      <c r="I61" s="1648">
        <v>55.000000000000007</v>
      </c>
    </row>
    <row r="62" spans="1:9" x14ac:dyDescent="0.2">
      <c r="A62" s="1657" t="s">
        <v>768</v>
      </c>
      <c r="B62" s="1658"/>
      <c r="C62" s="1659"/>
      <c r="D62" s="1675"/>
      <c r="E62" s="1661"/>
      <c r="F62" s="1661"/>
      <c r="G62" s="1662" t="s">
        <v>708</v>
      </c>
      <c r="H62" s="1663" t="s">
        <v>708</v>
      </c>
      <c r="I62" s="1664" t="s">
        <v>708</v>
      </c>
    </row>
    <row r="63" spans="1:9" x14ac:dyDescent="0.2">
      <c r="A63" s="1676" t="s">
        <v>1163</v>
      </c>
      <c r="B63" s="1642" t="s">
        <v>730</v>
      </c>
      <c r="C63" s="1643">
        <v>32</v>
      </c>
      <c r="D63" s="1673">
        <v>0.43</v>
      </c>
      <c r="E63" s="1645">
        <v>0.17</v>
      </c>
      <c r="F63" s="1645">
        <v>0.51</v>
      </c>
      <c r="G63" s="1646">
        <v>0.96</v>
      </c>
      <c r="H63" s="1647">
        <v>588.79999999999995</v>
      </c>
      <c r="I63" s="1648">
        <v>52</v>
      </c>
    </row>
    <row r="64" spans="1:9" x14ac:dyDescent="0.2">
      <c r="A64" s="1676" t="s">
        <v>770</v>
      </c>
      <c r="B64" s="1642" t="s">
        <v>772</v>
      </c>
      <c r="C64" s="1643">
        <v>60</v>
      </c>
      <c r="D64" s="1673">
        <v>1.01</v>
      </c>
      <c r="E64" s="1645">
        <v>0.41</v>
      </c>
      <c r="F64" s="1673">
        <v>0.36</v>
      </c>
      <c r="G64" s="1646">
        <v>0.98</v>
      </c>
      <c r="H64" s="1647">
        <v>666</v>
      </c>
      <c r="I64" s="1648">
        <v>53</v>
      </c>
    </row>
    <row r="65" spans="1:9" x14ac:dyDescent="0.2">
      <c r="A65" s="1676" t="s">
        <v>1164</v>
      </c>
      <c r="B65" s="1642" t="s">
        <v>1165</v>
      </c>
      <c r="C65" s="1643">
        <v>50</v>
      </c>
      <c r="D65" s="1673">
        <v>0.76</v>
      </c>
      <c r="E65" s="1645">
        <v>0.32</v>
      </c>
      <c r="F65" s="1673">
        <v>0.36</v>
      </c>
      <c r="G65" s="1646">
        <v>0.97</v>
      </c>
      <c r="H65" s="1647">
        <v>643.70000000000005</v>
      </c>
      <c r="I65" s="1648">
        <v>53</v>
      </c>
    </row>
    <row r="66" spans="1:9" x14ac:dyDescent="0.2">
      <c r="A66" s="1676" t="s">
        <v>774</v>
      </c>
      <c r="B66" s="1642" t="s">
        <v>776</v>
      </c>
      <c r="C66" s="1643">
        <v>35</v>
      </c>
      <c r="D66" s="1673">
        <v>0.56000000000000005</v>
      </c>
      <c r="E66" s="1645">
        <v>0.23</v>
      </c>
      <c r="F66" s="1645">
        <v>0.47</v>
      </c>
      <c r="G66" s="1646">
        <v>0.95</v>
      </c>
      <c r="H66" s="1647">
        <v>504.1</v>
      </c>
      <c r="I66" s="1648">
        <v>52</v>
      </c>
    </row>
    <row r="67" spans="1:9" x14ac:dyDescent="0.2">
      <c r="A67" s="1676" t="s">
        <v>777</v>
      </c>
      <c r="B67" s="1642" t="s">
        <v>776</v>
      </c>
      <c r="C67" s="1643">
        <v>35</v>
      </c>
      <c r="D67" s="1673">
        <v>0.56000000000000005</v>
      </c>
      <c r="E67" s="1645">
        <v>0.23</v>
      </c>
      <c r="F67" s="1645">
        <v>0.47</v>
      </c>
      <c r="G67" s="1646">
        <v>0.94</v>
      </c>
      <c r="H67" s="1647">
        <v>515</v>
      </c>
      <c r="I67" s="1648">
        <v>52</v>
      </c>
    </row>
    <row r="68" spans="1:9" x14ac:dyDescent="0.2">
      <c r="A68" s="1676" t="s">
        <v>779</v>
      </c>
      <c r="B68" s="1642" t="s">
        <v>776</v>
      </c>
      <c r="C68" s="1643">
        <v>35</v>
      </c>
      <c r="D68" s="1673">
        <v>0.56000000000000005</v>
      </c>
      <c r="E68" s="1645">
        <v>0.23</v>
      </c>
      <c r="F68" s="1645">
        <v>0.47</v>
      </c>
      <c r="G68" s="1646">
        <v>0.95</v>
      </c>
      <c r="H68" s="1647">
        <v>506.2</v>
      </c>
      <c r="I68" s="1648">
        <v>52</v>
      </c>
    </row>
    <row r="69" spans="1:9" x14ac:dyDescent="0.2">
      <c r="A69" s="1676" t="s">
        <v>782</v>
      </c>
      <c r="B69" s="1642" t="s">
        <v>776</v>
      </c>
      <c r="C69" s="1643">
        <v>35</v>
      </c>
      <c r="D69" s="1673">
        <v>0.56000000000000005</v>
      </c>
      <c r="E69" s="1645">
        <v>0.23</v>
      </c>
      <c r="F69" s="1645">
        <v>0.47</v>
      </c>
      <c r="G69" s="1646">
        <v>0.95</v>
      </c>
      <c r="H69" s="1647">
        <v>506.2</v>
      </c>
      <c r="I69" s="1648">
        <v>52</v>
      </c>
    </row>
    <row r="70" spans="1:9" x14ac:dyDescent="0.2">
      <c r="A70" s="1641" t="s">
        <v>1166</v>
      </c>
      <c r="B70" s="1642" t="s">
        <v>776</v>
      </c>
      <c r="C70" s="1643">
        <v>35</v>
      </c>
      <c r="D70" s="1673">
        <v>0.56000000000000005</v>
      </c>
      <c r="E70" s="1645">
        <v>0.23</v>
      </c>
      <c r="F70" s="1645">
        <v>0.47</v>
      </c>
      <c r="G70" s="1646">
        <v>0.93</v>
      </c>
      <c r="H70" s="1647">
        <v>525.29999999999995</v>
      </c>
      <c r="I70" s="1648">
        <v>54</v>
      </c>
    </row>
    <row r="71" spans="1:9" x14ac:dyDescent="0.2">
      <c r="A71" s="1641" t="s">
        <v>1167</v>
      </c>
      <c r="B71" s="1642" t="s">
        <v>776</v>
      </c>
      <c r="C71" s="1643">
        <v>35</v>
      </c>
      <c r="D71" s="1673">
        <v>0.56000000000000005</v>
      </c>
      <c r="E71" s="1645">
        <v>0.23</v>
      </c>
      <c r="F71" s="1645">
        <v>0.47</v>
      </c>
      <c r="G71" s="1646">
        <v>0.93</v>
      </c>
      <c r="H71" s="1647">
        <v>525.29999999999995</v>
      </c>
      <c r="I71" s="1648">
        <v>54</v>
      </c>
    </row>
    <row r="72" spans="1:9" x14ac:dyDescent="0.2">
      <c r="A72" s="1641" t="s">
        <v>1168</v>
      </c>
      <c r="B72" s="1642" t="s">
        <v>730</v>
      </c>
      <c r="C72" s="1643">
        <v>35</v>
      </c>
      <c r="D72" s="1673">
        <v>0.56000000000000005</v>
      </c>
      <c r="E72" s="1645">
        <v>0.23</v>
      </c>
      <c r="F72" s="1645">
        <v>0.47</v>
      </c>
      <c r="G72" s="1646">
        <v>0.88</v>
      </c>
      <c r="H72" s="1647">
        <v>522</v>
      </c>
      <c r="I72" s="1648">
        <v>55.000000000000007</v>
      </c>
    </row>
    <row r="73" spans="1:9" x14ac:dyDescent="0.2">
      <c r="A73" s="1641" t="s">
        <v>1169</v>
      </c>
      <c r="B73" s="1642" t="s">
        <v>776</v>
      </c>
      <c r="C73" s="1643">
        <v>35</v>
      </c>
      <c r="D73" s="1673">
        <v>0.47031249999999997</v>
      </c>
      <c r="E73" s="1645">
        <v>0.19687499999999999</v>
      </c>
      <c r="F73" s="1645">
        <v>0.55781250000000004</v>
      </c>
      <c r="G73" s="1677">
        <v>0.88</v>
      </c>
      <c r="H73" s="1647">
        <v>537.6</v>
      </c>
      <c r="I73" s="1678">
        <v>53</v>
      </c>
    </row>
    <row r="74" spans="1:9" x14ac:dyDescent="0.2">
      <c r="A74" s="1641" t="s">
        <v>1170</v>
      </c>
      <c r="B74" s="1642" t="s">
        <v>730</v>
      </c>
      <c r="C74" s="1643">
        <v>35</v>
      </c>
      <c r="D74" s="1673">
        <v>0.56000000000000005</v>
      </c>
      <c r="E74" s="1645">
        <v>0.23</v>
      </c>
      <c r="F74" s="1645">
        <v>0.47</v>
      </c>
      <c r="G74" s="1646">
        <v>0.85</v>
      </c>
      <c r="H74" s="1647">
        <v>674.6</v>
      </c>
      <c r="I74" s="1648">
        <v>54</v>
      </c>
    </row>
    <row r="75" spans="1:9" x14ac:dyDescent="0.2">
      <c r="A75" s="1641" t="s">
        <v>1171</v>
      </c>
      <c r="B75" s="1642" t="s">
        <v>776</v>
      </c>
      <c r="C75" s="1643">
        <v>35</v>
      </c>
      <c r="D75" s="1673">
        <v>0.56000000000000005</v>
      </c>
      <c r="E75" s="1645">
        <v>0.23</v>
      </c>
      <c r="F75" s="1645">
        <v>0.47</v>
      </c>
      <c r="G75" s="1646">
        <v>0.82</v>
      </c>
      <c r="H75" s="1647">
        <v>661.2</v>
      </c>
      <c r="I75" s="1648">
        <v>56.000000000000007</v>
      </c>
    </row>
    <row r="76" spans="1:9" x14ac:dyDescent="0.2">
      <c r="A76" s="1657" t="s">
        <v>788</v>
      </c>
      <c r="B76" s="1658"/>
      <c r="C76" s="1659"/>
      <c r="D76" s="1675"/>
      <c r="E76" s="1661"/>
      <c r="F76" s="1675"/>
      <c r="G76" s="1662" t="s">
        <v>708</v>
      </c>
      <c r="H76" s="1663" t="s">
        <v>708</v>
      </c>
      <c r="I76" s="1664" t="s">
        <v>708</v>
      </c>
    </row>
    <row r="77" spans="1:9" x14ac:dyDescent="0.2">
      <c r="A77" s="1679" t="s">
        <v>1172</v>
      </c>
      <c r="B77" s="1680" t="s">
        <v>730</v>
      </c>
      <c r="C77" s="1635">
        <v>28</v>
      </c>
      <c r="D77" s="1672">
        <v>0.28000000000000003</v>
      </c>
      <c r="E77" s="1637">
        <v>0.14000000000000001</v>
      </c>
      <c r="F77" s="1672">
        <v>0.64</v>
      </c>
      <c r="G77" s="1646">
        <v>0.91</v>
      </c>
      <c r="H77" s="1647">
        <v>456.3</v>
      </c>
      <c r="I77" s="1648">
        <v>54</v>
      </c>
    </row>
    <row r="78" spans="1:9" x14ac:dyDescent="0.2">
      <c r="A78" s="1681" t="s">
        <v>1173</v>
      </c>
      <c r="B78" s="1682" t="s">
        <v>730</v>
      </c>
      <c r="C78" s="1643">
        <v>28</v>
      </c>
      <c r="D78" s="1673">
        <v>0.28000000000000003</v>
      </c>
      <c r="E78" s="1645">
        <v>0.14000000000000001</v>
      </c>
      <c r="F78" s="1673">
        <v>0.64</v>
      </c>
      <c r="G78" s="1646">
        <v>0.91</v>
      </c>
      <c r="H78" s="1647">
        <v>456.3</v>
      </c>
      <c r="I78" s="1648">
        <v>54</v>
      </c>
    </row>
    <row r="79" spans="1:9" x14ac:dyDescent="0.2">
      <c r="A79" s="1683" t="s">
        <v>791</v>
      </c>
      <c r="B79" s="1642" t="s">
        <v>776</v>
      </c>
      <c r="C79" s="1643">
        <v>28</v>
      </c>
      <c r="D79" s="1673">
        <v>0.41</v>
      </c>
      <c r="E79" s="1645">
        <v>0.18</v>
      </c>
      <c r="F79" s="1645">
        <v>0.48</v>
      </c>
      <c r="G79" s="1646">
        <v>0.93</v>
      </c>
      <c r="H79" s="1647">
        <v>498</v>
      </c>
      <c r="I79" s="1648">
        <v>53</v>
      </c>
    </row>
    <row r="80" spans="1:9" x14ac:dyDescent="0.2">
      <c r="A80" s="1683" t="s">
        <v>1174</v>
      </c>
      <c r="B80" s="1642" t="s">
        <v>776</v>
      </c>
      <c r="C80" s="1643">
        <v>28</v>
      </c>
      <c r="D80" s="1673">
        <v>0.34</v>
      </c>
      <c r="E80" s="1645">
        <v>0.17</v>
      </c>
      <c r="F80" s="1645">
        <v>0.59</v>
      </c>
      <c r="G80" s="1646">
        <v>0.92</v>
      </c>
      <c r="H80" s="1647">
        <v>502.7</v>
      </c>
      <c r="I80" s="1648">
        <v>54</v>
      </c>
    </row>
    <row r="81" spans="1:9" x14ac:dyDescent="0.2">
      <c r="A81" s="1683" t="s">
        <v>1175</v>
      </c>
      <c r="B81" s="1642" t="s">
        <v>776</v>
      </c>
      <c r="C81" s="1643">
        <v>28</v>
      </c>
      <c r="D81" s="1673">
        <v>0.31</v>
      </c>
      <c r="E81" s="1645">
        <v>0.11</v>
      </c>
      <c r="F81" s="1645">
        <v>0.41</v>
      </c>
      <c r="G81" s="1646">
        <v>0.94</v>
      </c>
      <c r="H81" s="1647">
        <v>355.9</v>
      </c>
      <c r="I81" s="1648">
        <v>52</v>
      </c>
    </row>
    <row r="82" spans="1:9" x14ac:dyDescent="0.2">
      <c r="A82" s="1641" t="s">
        <v>1176</v>
      </c>
      <c r="B82" s="1642" t="s">
        <v>776</v>
      </c>
      <c r="C82" s="1643">
        <v>28</v>
      </c>
      <c r="D82" s="1684">
        <v>0.27</v>
      </c>
      <c r="E82" s="1685">
        <v>0.11</v>
      </c>
      <c r="F82" s="1685">
        <v>0.53</v>
      </c>
      <c r="G82" s="1646">
        <v>0.93</v>
      </c>
      <c r="H82" s="1647">
        <v>574.70000000000005</v>
      </c>
      <c r="I82" s="1648">
        <v>53</v>
      </c>
    </row>
    <row r="83" spans="1:9" x14ac:dyDescent="0.2">
      <c r="A83" s="1641" t="s">
        <v>1177</v>
      </c>
      <c r="B83" s="1642" t="s">
        <v>776</v>
      </c>
      <c r="C83" s="1643">
        <v>80</v>
      </c>
      <c r="D83" s="1673">
        <v>0.15</v>
      </c>
      <c r="E83" s="1645">
        <v>0.12</v>
      </c>
      <c r="F83" s="1673">
        <v>0.42</v>
      </c>
      <c r="G83" s="1646">
        <v>0.94</v>
      </c>
      <c r="H83" s="1647">
        <v>442</v>
      </c>
      <c r="I83" s="1648">
        <v>54</v>
      </c>
    </row>
    <row r="84" spans="1:9" x14ac:dyDescent="0.2">
      <c r="A84" s="1641" t="s">
        <v>1178</v>
      </c>
      <c r="B84" s="1642" t="s">
        <v>776</v>
      </c>
      <c r="C84" s="1643">
        <v>28</v>
      </c>
      <c r="D84" s="1673">
        <v>0.34</v>
      </c>
      <c r="E84" s="1645">
        <v>0.16</v>
      </c>
      <c r="F84" s="1673">
        <v>0.61</v>
      </c>
      <c r="G84" s="1646">
        <v>0.94</v>
      </c>
      <c r="H84" s="1647">
        <v>562.6</v>
      </c>
      <c r="I84" s="1648">
        <v>54</v>
      </c>
    </row>
    <row r="85" spans="1:9" x14ac:dyDescent="0.2">
      <c r="A85" s="1641" t="s">
        <v>1179</v>
      </c>
      <c r="B85" s="1642" t="s">
        <v>776</v>
      </c>
      <c r="C85" s="1643">
        <v>28</v>
      </c>
      <c r="D85" s="1673">
        <v>0.41</v>
      </c>
      <c r="E85" s="1645">
        <v>0.15</v>
      </c>
      <c r="F85" s="1673">
        <v>0.73</v>
      </c>
      <c r="G85" s="1646">
        <v>0</v>
      </c>
      <c r="H85" s="1647">
        <v>485.3</v>
      </c>
      <c r="I85" s="1648">
        <v>55.000000000000007</v>
      </c>
    </row>
    <row r="86" spans="1:9" x14ac:dyDescent="0.2">
      <c r="A86" s="1683" t="s">
        <v>1180</v>
      </c>
      <c r="B86" s="1642" t="s">
        <v>776</v>
      </c>
      <c r="C86" s="1643">
        <v>28</v>
      </c>
      <c r="D86" s="1673">
        <v>0.35</v>
      </c>
      <c r="E86" s="1645">
        <v>0.16</v>
      </c>
      <c r="F86" s="1645">
        <v>0.48</v>
      </c>
      <c r="G86" s="1646">
        <v>0.93</v>
      </c>
      <c r="H86" s="1647">
        <v>498</v>
      </c>
      <c r="I86" s="1648">
        <v>53</v>
      </c>
    </row>
    <row r="87" spans="1:9" x14ac:dyDescent="0.2">
      <c r="A87" s="1641" t="s">
        <v>1181</v>
      </c>
      <c r="B87" s="1642" t="s">
        <v>776</v>
      </c>
      <c r="C87" s="1643">
        <v>28</v>
      </c>
      <c r="D87" s="1673">
        <v>0.35</v>
      </c>
      <c r="E87" s="1645">
        <v>0.16</v>
      </c>
      <c r="F87" s="1645">
        <v>0.48</v>
      </c>
      <c r="G87" s="1646">
        <v>0.84</v>
      </c>
      <c r="H87" s="1686">
        <v>464</v>
      </c>
      <c r="I87" s="1687">
        <v>56.000000000000007</v>
      </c>
    </row>
    <row r="88" spans="1:9" x14ac:dyDescent="0.2">
      <c r="A88" s="1641" t="s">
        <v>1182</v>
      </c>
      <c r="B88" s="1642" t="s">
        <v>730</v>
      </c>
      <c r="C88" s="1643">
        <v>28</v>
      </c>
      <c r="D88" s="1673">
        <v>0.35</v>
      </c>
      <c r="E88" s="1645">
        <v>0.16</v>
      </c>
      <c r="F88" s="1645">
        <v>0.48</v>
      </c>
      <c r="G88" s="1646">
        <v>0.86</v>
      </c>
      <c r="H88" s="1647">
        <v>539.79999999999995</v>
      </c>
      <c r="I88" s="1648">
        <v>54</v>
      </c>
    </row>
    <row r="89" spans="1:9" ht="13.5" thickBot="1" x14ac:dyDescent="0.25">
      <c r="A89" s="1688"/>
      <c r="B89" s="1689"/>
      <c r="C89" s="1690"/>
      <c r="D89" s="1691"/>
      <c r="E89" s="1692"/>
      <c r="F89" s="1691"/>
      <c r="G89" s="1693"/>
      <c r="H89" s="1694"/>
      <c r="I89" s="1695"/>
    </row>
    <row r="90" spans="1:9" ht="13.5" thickBot="1" x14ac:dyDescent="0.25">
      <c r="A90" s="1696" t="s">
        <v>794</v>
      </c>
      <c r="B90" s="1697"/>
      <c r="C90" s="1698"/>
      <c r="D90" s="1699"/>
      <c r="E90" s="1700"/>
      <c r="F90" s="1701"/>
      <c r="G90" s="1646"/>
      <c r="H90" s="1702"/>
      <c r="I90" s="1648"/>
    </row>
    <row r="91" spans="1:9" outlineLevel="1" x14ac:dyDescent="0.2">
      <c r="A91" s="1703" t="s">
        <v>795</v>
      </c>
      <c r="B91" s="1642" t="s">
        <v>730</v>
      </c>
      <c r="C91" s="1704">
        <v>20</v>
      </c>
      <c r="D91" s="1673">
        <v>0.53</v>
      </c>
      <c r="E91" s="1645">
        <v>0.16</v>
      </c>
      <c r="F91" s="1673">
        <v>0.72</v>
      </c>
      <c r="G91" s="1705">
        <v>0.87</v>
      </c>
      <c r="H91" s="1639">
        <v>595.5</v>
      </c>
      <c r="I91" s="1706">
        <v>55.000000000000007</v>
      </c>
    </row>
    <row r="92" spans="1:9" outlineLevel="1" x14ac:dyDescent="0.2">
      <c r="A92" s="1676" t="s">
        <v>1183</v>
      </c>
      <c r="B92" s="1642" t="s">
        <v>730</v>
      </c>
      <c r="C92" s="1704">
        <v>20</v>
      </c>
      <c r="D92" s="1673">
        <v>0.56000000000000005</v>
      </c>
      <c r="E92" s="1645">
        <v>0.15</v>
      </c>
      <c r="F92" s="1673">
        <v>0.67</v>
      </c>
      <c r="G92" s="1677">
        <v>0.87</v>
      </c>
      <c r="H92" s="1647">
        <v>573.79999999999995</v>
      </c>
      <c r="I92" s="1678">
        <v>55.000000000000007</v>
      </c>
    </row>
    <row r="93" spans="1:9" outlineLevel="1" x14ac:dyDescent="0.2">
      <c r="A93" s="1676" t="s">
        <v>798</v>
      </c>
      <c r="B93" s="1642" t="s">
        <v>730</v>
      </c>
      <c r="C93" s="1704">
        <v>20</v>
      </c>
      <c r="D93" s="1673">
        <v>0.57999999999999996</v>
      </c>
      <c r="E93" s="1645">
        <v>0.14000000000000001</v>
      </c>
      <c r="F93" s="1673">
        <v>0.65</v>
      </c>
      <c r="G93" s="1677">
        <v>0.87</v>
      </c>
      <c r="H93" s="1647">
        <v>573.79999999999995</v>
      </c>
      <c r="I93" s="1678">
        <v>55.000000000000007</v>
      </c>
    </row>
    <row r="94" spans="1:9" outlineLevel="1" x14ac:dyDescent="0.2">
      <c r="A94" s="1676" t="s">
        <v>1184</v>
      </c>
      <c r="B94" s="1642" t="s">
        <v>730</v>
      </c>
      <c r="C94" s="1704">
        <v>20</v>
      </c>
      <c r="D94" s="1673">
        <v>0.61</v>
      </c>
      <c r="E94" s="1645">
        <v>0.14000000000000001</v>
      </c>
      <c r="F94" s="1673">
        <v>0.65</v>
      </c>
      <c r="G94" s="1677">
        <v>0.87</v>
      </c>
      <c r="H94" s="1647">
        <v>573.79999999999995</v>
      </c>
      <c r="I94" s="1678">
        <v>55.000000000000007</v>
      </c>
    </row>
    <row r="95" spans="1:9" outlineLevel="1" x14ac:dyDescent="0.2">
      <c r="A95" s="1703" t="s">
        <v>800</v>
      </c>
      <c r="B95" s="1642" t="s">
        <v>730</v>
      </c>
      <c r="C95" s="1707">
        <v>20</v>
      </c>
      <c r="D95" s="1708">
        <v>0.46</v>
      </c>
      <c r="E95" s="1709">
        <v>0.14000000000000001</v>
      </c>
      <c r="F95" s="1710">
        <v>0.5</v>
      </c>
      <c r="G95" s="1677">
        <v>0.86</v>
      </c>
      <c r="H95" s="1647">
        <v>545.20000000000005</v>
      </c>
      <c r="I95" s="1678">
        <v>56.000000000000007</v>
      </c>
    </row>
    <row r="96" spans="1:9" outlineLevel="1" x14ac:dyDescent="0.2">
      <c r="A96" s="1703" t="s">
        <v>1185</v>
      </c>
      <c r="B96" s="1642" t="s">
        <v>730</v>
      </c>
      <c r="C96" s="1707">
        <v>20</v>
      </c>
      <c r="D96" s="1708">
        <v>0.46</v>
      </c>
      <c r="E96" s="1709">
        <v>0.14000000000000001</v>
      </c>
      <c r="F96" s="1710">
        <v>0.5</v>
      </c>
      <c r="G96" s="1677">
        <v>0.88</v>
      </c>
      <c r="H96" s="1647">
        <v>522</v>
      </c>
      <c r="I96" s="1678">
        <v>55.000000000000007</v>
      </c>
    </row>
    <row r="97" spans="1:9" outlineLevel="1" x14ac:dyDescent="0.2">
      <c r="A97" s="1703" t="s">
        <v>802</v>
      </c>
      <c r="B97" s="1642" t="s">
        <v>730</v>
      </c>
      <c r="C97" s="1707">
        <v>20</v>
      </c>
      <c r="D97" s="1708">
        <v>0.46</v>
      </c>
      <c r="E97" s="1709">
        <v>0.14000000000000001</v>
      </c>
      <c r="F97" s="1710">
        <v>0.5</v>
      </c>
      <c r="G97" s="1677">
        <v>0.82</v>
      </c>
      <c r="H97" s="1647">
        <v>661.2</v>
      </c>
      <c r="I97" s="1678">
        <v>56.000000000000007</v>
      </c>
    </row>
    <row r="98" spans="1:9" outlineLevel="1" x14ac:dyDescent="0.2">
      <c r="A98" s="1703" t="s">
        <v>804</v>
      </c>
      <c r="B98" s="1642" t="s">
        <v>730</v>
      </c>
      <c r="C98" s="1707">
        <v>20</v>
      </c>
      <c r="D98" s="1708">
        <v>0.46</v>
      </c>
      <c r="E98" s="1709">
        <v>0.14000000000000001</v>
      </c>
      <c r="F98" s="1710">
        <v>0.5</v>
      </c>
      <c r="G98" s="1677">
        <v>0.82</v>
      </c>
      <c r="H98" s="1647">
        <v>661.2</v>
      </c>
      <c r="I98" s="1678">
        <v>56.000000000000007</v>
      </c>
    </row>
    <row r="99" spans="1:9" outlineLevel="1" x14ac:dyDescent="0.2">
      <c r="A99" s="1703" t="s">
        <v>806</v>
      </c>
      <c r="B99" s="1642" t="s">
        <v>730</v>
      </c>
      <c r="C99" s="1707">
        <v>20</v>
      </c>
      <c r="D99" s="1708">
        <v>0.46</v>
      </c>
      <c r="E99" s="1709">
        <v>0.14000000000000001</v>
      </c>
      <c r="F99" s="1710">
        <v>0.5</v>
      </c>
      <c r="G99" s="1677">
        <v>0.85</v>
      </c>
      <c r="H99" s="1647">
        <v>674.6</v>
      </c>
      <c r="I99" s="1678">
        <v>54</v>
      </c>
    </row>
    <row r="100" spans="1:9" outlineLevel="1" x14ac:dyDescent="0.2">
      <c r="A100" s="1703" t="s">
        <v>1186</v>
      </c>
      <c r="B100" s="1642" t="s">
        <v>730</v>
      </c>
      <c r="C100" s="1707">
        <v>20</v>
      </c>
      <c r="D100" s="1708">
        <v>0.46</v>
      </c>
      <c r="E100" s="1709">
        <v>0.14000000000000001</v>
      </c>
      <c r="F100" s="1710">
        <v>0.5</v>
      </c>
      <c r="G100" s="1677">
        <v>0.85</v>
      </c>
      <c r="H100" s="1647">
        <v>674.6</v>
      </c>
      <c r="I100" s="1678">
        <v>54</v>
      </c>
    </row>
    <row r="101" spans="1:9" outlineLevel="1" x14ac:dyDescent="0.2">
      <c r="A101" s="1703" t="s">
        <v>808</v>
      </c>
      <c r="B101" s="1642" t="s">
        <v>730</v>
      </c>
      <c r="C101" s="1707">
        <v>20</v>
      </c>
      <c r="D101" s="1708">
        <v>0.46</v>
      </c>
      <c r="E101" s="1709">
        <v>0.14000000000000001</v>
      </c>
      <c r="F101" s="1710">
        <v>0.5</v>
      </c>
      <c r="G101" s="1677">
        <v>0.84</v>
      </c>
      <c r="H101" s="1647">
        <v>565.6</v>
      </c>
      <c r="I101" s="1678">
        <v>56.000000000000007</v>
      </c>
    </row>
    <row r="102" spans="1:9" outlineLevel="1" x14ac:dyDescent="0.2">
      <c r="A102" s="1703" t="s">
        <v>1187</v>
      </c>
      <c r="B102" s="1642" t="s">
        <v>730</v>
      </c>
      <c r="C102" s="1704">
        <v>28</v>
      </c>
      <c r="D102" s="1711">
        <v>0.38</v>
      </c>
      <c r="E102" s="1710">
        <v>0.16</v>
      </c>
      <c r="F102" s="1710">
        <v>0.45</v>
      </c>
      <c r="G102" s="1677">
        <v>0.88</v>
      </c>
      <c r="H102" s="1647">
        <v>537.6</v>
      </c>
      <c r="I102" s="1678">
        <v>53</v>
      </c>
    </row>
    <row r="103" spans="1:9" outlineLevel="1" x14ac:dyDescent="0.2">
      <c r="A103" s="1676" t="s">
        <v>1188</v>
      </c>
      <c r="B103" s="1642" t="s">
        <v>730</v>
      </c>
      <c r="C103" s="1704">
        <v>20</v>
      </c>
      <c r="D103" s="1708">
        <v>0.46</v>
      </c>
      <c r="E103" s="1709">
        <v>0.14000000000000001</v>
      </c>
      <c r="F103" s="1710">
        <v>0.5</v>
      </c>
      <c r="G103" s="1677">
        <v>0.87</v>
      </c>
      <c r="H103" s="1647">
        <v>560.1</v>
      </c>
      <c r="I103" s="1678">
        <v>54</v>
      </c>
    </row>
    <row r="104" spans="1:9" outlineLevel="1" x14ac:dyDescent="0.2">
      <c r="A104" s="1676" t="s">
        <v>812</v>
      </c>
      <c r="B104" s="1642" t="s">
        <v>730</v>
      </c>
      <c r="C104" s="1704">
        <v>20</v>
      </c>
      <c r="D104" s="1708">
        <v>0.46</v>
      </c>
      <c r="E104" s="1709">
        <v>0.14000000000000001</v>
      </c>
      <c r="F104" s="1710">
        <v>0.5</v>
      </c>
      <c r="G104" s="1677">
        <v>0.87</v>
      </c>
      <c r="H104" s="1647">
        <v>560.1</v>
      </c>
      <c r="I104" s="1678">
        <v>54</v>
      </c>
    </row>
    <row r="105" spans="1:9" outlineLevel="1" x14ac:dyDescent="0.2">
      <c r="A105" s="1676" t="s">
        <v>1189</v>
      </c>
      <c r="B105" s="1642" t="s">
        <v>730</v>
      </c>
      <c r="C105" s="1704">
        <v>20</v>
      </c>
      <c r="D105" s="1708">
        <v>0.46</v>
      </c>
      <c r="E105" s="1709">
        <v>0.14000000000000001</v>
      </c>
      <c r="F105" s="1710">
        <v>0.5</v>
      </c>
      <c r="G105" s="1677">
        <v>0.87</v>
      </c>
      <c r="H105" s="1647">
        <v>560.1</v>
      </c>
      <c r="I105" s="1678">
        <v>54</v>
      </c>
    </row>
    <row r="106" spans="1:9" outlineLevel="1" x14ac:dyDescent="0.2">
      <c r="A106" s="1703" t="s">
        <v>814</v>
      </c>
      <c r="B106" s="1642" t="s">
        <v>730</v>
      </c>
      <c r="C106" s="1704">
        <v>30</v>
      </c>
      <c r="D106" s="1711">
        <v>0.48</v>
      </c>
      <c r="E106" s="1710">
        <v>0.2</v>
      </c>
      <c r="F106" s="1710">
        <v>0.4</v>
      </c>
      <c r="G106" s="1677">
        <v>0.89</v>
      </c>
      <c r="H106" s="1647">
        <v>588.9</v>
      </c>
      <c r="I106" s="1678">
        <v>54</v>
      </c>
    </row>
    <row r="107" spans="1:9" outlineLevel="1" x14ac:dyDescent="0.2">
      <c r="A107" s="1703" t="s">
        <v>817</v>
      </c>
      <c r="B107" s="1642" t="s">
        <v>730</v>
      </c>
      <c r="C107" s="1704">
        <v>28</v>
      </c>
      <c r="D107" s="1712">
        <v>0.38</v>
      </c>
      <c r="E107" s="1713">
        <v>0.16</v>
      </c>
      <c r="F107" s="1713">
        <v>0.45</v>
      </c>
      <c r="G107" s="1677">
        <v>0.96</v>
      </c>
      <c r="H107" s="1647">
        <v>588.79999999999995</v>
      </c>
      <c r="I107" s="1678">
        <v>52</v>
      </c>
    </row>
    <row r="108" spans="1:9" outlineLevel="1" x14ac:dyDescent="0.2">
      <c r="A108" s="1703" t="s">
        <v>819</v>
      </c>
      <c r="B108" s="1642" t="s">
        <v>730</v>
      </c>
      <c r="C108" s="1704">
        <v>28</v>
      </c>
      <c r="D108" s="1644">
        <v>0.41</v>
      </c>
      <c r="E108" s="1645">
        <v>0.18</v>
      </c>
      <c r="F108" s="1645">
        <v>0.48</v>
      </c>
      <c r="G108" s="1677">
        <v>0.92</v>
      </c>
      <c r="H108" s="1647">
        <v>530.5</v>
      </c>
      <c r="I108" s="1678">
        <v>52</v>
      </c>
    </row>
    <row r="109" spans="1:9" outlineLevel="1" x14ac:dyDescent="0.2">
      <c r="A109" s="1703"/>
      <c r="B109" s="1642"/>
      <c r="C109" s="1704"/>
      <c r="D109" s="1644"/>
      <c r="E109" s="1645"/>
      <c r="F109" s="1645"/>
      <c r="G109" s="1677"/>
      <c r="H109" s="1647"/>
      <c r="I109" s="1678"/>
    </row>
    <row r="110" spans="1:9" outlineLevel="1" x14ac:dyDescent="0.2">
      <c r="A110" s="1714" t="s">
        <v>822</v>
      </c>
      <c r="B110" s="1658"/>
      <c r="C110" s="1715"/>
      <c r="D110" s="1660"/>
      <c r="E110" s="1661"/>
      <c r="F110" s="1661"/>
      <c r="G110" s="1716" t="s">
        <v>708</v>
      </c>
      <c r="H110" s="1663" t="s">
        <v>708</v>
      </c>
      <c r="I110" s="1717" t="s">
        <v>708</v>
      </c>
    </row>
    <row r="111" spans="1:9" outlineLevel="1" x14ac:dyDescent="0.2">
      <c r="A111" s="1703" t="s">
        <v>823</v>
      </c>
      <c r="B111" s="1718" t="s">
        <v>730</v>
      </c>
      <c r="C111" s="1719">
        <v>16</v>
      </c>
      <c r="D111" s="1720">
        <v>0.46</v>
      </c>
      <c r="E111" s="1721">
        <v>0.14000000000000001</v>
      </c>
      <c r="F111" s="1722">
        <v>0.5</v>
      </c>
      <c r="G111" s="1677">
        <v>0.87</v>
      </c>
      <c r="H111" s="1647">
        <v>560.1</v>
      </c>
      <c r="I111" s="1678">
        <v>54</v>
      </c>
    </row>
    <row r="112" spans="1:9" outlineLevel="1" x14ac:dyDescent="0.2">
      <c r="A112" s="1703" t="s">
        <v>825</v>
      </c>
      <c r="B112" s="1718" t="s">
        <v>730</v>
      </c>
      <c r="C112" s="1719">
        <v>16</v>
      </c>
      <c r="D112" s="1720">
        <v>0.46</v>
      </c>
      <c r="E112" s="1723">
        <v>0.14000000000000001</v>
      </c>
      <c r="F112" s="1722">
        <v>0.5</v>
      </c>
      <c r="G112" s="1724">
        <v>0.87</v>
      </c>
      <c r="H112" s="1647">
        <v>560.1</v>
      </c>
      <c r="I112" s="1678">
        <v>54</v>
      </c>
    </row>
    <row r="113" spans="1:9" outlineLevel="1" x14ac:dyDescent="0.2">
      <c r="A113" s="1703" t="s">
        <v>827</v>
      </c>
      <c r="B113" s="1718" t="s">
        <v>730</v>
      </c>
      <c r="C113" s="1719">
        <v>16</v>
      </c>
      <c r="D113" s="1720">
        <v>0.46</v>
      </c>
      <c r="E113" s="1721">
        <v>0.14000000000000001</v>
      </c>
      <c r="F113" s="1722">
        <v>0.5</v>
      </c>
      <c r="G113" s="1724">
        <v>0.87</v>
      </c>
      <c r="H113" s="1647">
        <v>560.1</v>
      </c>
      <c r="I113" s="1678">
        <v>54</v>
      </c>
    </row>
    <row r="114" spans="1:9" ht="13.5" thickBot="1" x14ac:dyDescent="0.25">
      <c r="A114" s="1725"/>
      <c r="B114" s="1726"/>
      <c r="C114" s="1727"/>
      <c r="D114" s="1728"/>
      <c r="E114" s="1729"/>
      <c r="F114" s="1730"/>
      <c r="G114" s="1731"/>
      <c r="H114" s="1732"/>
      <c r="I114" s="1733"/>
    </row>
    <row r="115" spans="1:9" x14ac:dyDescent="0.2">
      <c r="A115" s="1734" t="s">
        <v>829</v>
      </c>
      <c r="B115" s="1735"/>
      <c r="C115" s="1736"/>
      <c r="D115" s="1737"/>
      <c r="E115" s="1738"/>
      <c r="F115" s="1738"/>
      <c r="G115" s="1630"/>
      <c r="H115" s="1631"/>
      <c r="I115" s="1632"/>
    </row>
    <row r="116" spans="1:9" outlineLevel="1" x14ac:dyDescent="0.2">
      <c r="A116" s="1739" t="s">
        <v>1190</v>
      </c>
      <c r="B116" s="1642"/>
      <c r="C116" s="1740"/>
      <c r="D116" s="1741"/>
      <c r="E116" s="1742"/>
      <c r="F116" s="1742"/>
      <c r="G116" s="1662"/>
      <c r="H116" s="1663"/>
      <c r="I116" s="1664"/>
    </row>
    <row r="117" spans="1:9" outlineLevel="1" x14ac:dyDescent="0.2">
      <c r="A117" s="1743" t="s">
        <v>1191</v>
      </c>
      <c r="B117" s="1744"/>
      <c r="C117" s="1640">
        <v>100</v>
      </c>
      <c r="D117" s="1745">
        <v>1.28</v>
      </c>
      <c r="E117" s="1746">
        <v>0.46</v>
      </c>
      <c r="F117" s="1746">
        <v>1.81</v>
      </c>
      <c r="G117" s="1646">
        <v>0.9</v>
      </c>
      <c r="H117" s="1647">
        <v>590.20000000000005</v>
      </c>
      <c r="I117" s="1747">
        <v>54.339715350728554</v>
      </c>
    </row>
    <row r="118" spans="1:9" outlineLevel="1" x14ac:dyDescent="0.2">
      <c r="A118" s="1748" t="s">
        <v>1192</v>
      </c>
      <c r="B118" s="1749"/>
      <c r="C118" s="1648">
        <v>100</v>
      </c>
      <c r="D118" s="1711">
        <v>1.3759999999999999</v>
      </c>
      <c r="E118" s="1710">
        <v>0.5</v>
      </c>
      <c r="F118" s="1710">
        <v>1.93</v>
      </c>
      <c r="G118" s="1646">
        <v>0.9</v>
      </c>
      <c r="H118" s="1647">
        <v>479.8</v>
      </c>
      <c r="I118" s="1747">
        <v>51.913297207169649</v>
      </c>
    </row>
    <row r="119" spans="1:9" outlineLevel="1" x14ac:dyDescent="0.2">
      <c r="A119" s="1748" t="s">
        <v>833</v>
      </c>
      <c r="B119" s="1749"/>
      <c r="C119" s="1648">
        <v>100</v>
      </c>
      <c r="D119" s="1711">
        <v>1.8240000000000001</v>
      </c>
      <c r="E119" s="1710">
        <v>0.65</v>
      </c>
      <c r="F119" s="1710">
        <v>2.41</v>
      </c>
      <c r="G119" s="1646">
        <v>0.9</v>
      </c>
      <c r="H119" s="1647">
        <v>546.20000000000005</v>
      </c>
      <c r="I119" s="1747">
        <v>54.191321860124489</v>
      </c>
    </row>
    <row r="120" spans="1:9" outlineLevel="1" x14ac:dyDescent="0.2">
      <c r="A120" s="1748" t="s">
        <v>836</v>
      </c>
      <c r="B120" s="1749"/>
      <c r="C120" s="1648">
        <v>100</v>
      </c>
      <c r="D120" s="1711">
        <v>2.4</v>
      </c>
      <c r="E120" s="1710">
        <v>0.71</v>
      </c>
      <c r="F120" s="1710">
        <v>2.89</v>
      </c>
      <c r="G120" s="1646">
        <v>0.9</v>
      </c>
      <c r="H120" s="1647">
        <v>560</v>
      </c>
      <c r="I120" s="1747">
        <v>54.553035714285713</v>
      </c>
    </row>
    <row r="121" spans="1:9" outlineLevel="1" x14ac:dyDescent="0.2">
      <c r="A121" s="1748" t="s">
        <v>839</v>
      </c>
      <c r="B121" s="1749"/>
      <c r="C121" s="1648">
        <v>100</v>
      </c>
      <c r="D121" s="1711">
        <v>2.72</v>
      </c>
      <c r="E121" s="1710">
        <v>0.81</v>
      </c>
      <c r="F121" s="1710">
        <v>3.13</v>
      </c>
      <c r="G121" s="1646">
        <v>0.9</v>
      </c>
      <c r="H121" s="1647">
        <v>575.6</v>
      </c>
      <c r="I121" s="1747">
        <v>54.404100069492699</v>
      </c>
    </row>
    <row r="122" spans="1:9" outlineLevel="1" x14ac:dyDescent="0.2">
      <c r="A122" s="1748" t="s">
        <v>842</v>
      </c>
      <c r="B122" s="1749"/>
      <c r="C122" s="1648">
        <v>100</v>
      </c>
      <c r="D122" s="1711">
        <v>2.8</v>
      </c>
      <c r="E122" s="1710">
        <v>0.87</v>
      </c>
      <c r="F122" s="1710">
        <v>3.25</v>
      </c>
      <c r="G122" s="1646">
        <v>0.9</v>
      </c>
      <c r="H122" s="1647">
        <v>575.6</v>
      </c>
      <c r="I122" s="1747">
        <v>54.404100069492699</v>
      </c>
    </row>
    <row r="123" spans="1:9" outlineLevel="1" x14ac:dyDescent="0.2">
      <c r="A123" s="1750" t="s">
        <v>844</v>
      </c>
      <c r="B123" s="1751"/>
      <c r="C123" s="1656">
        <v>100</v>
      </c>
      <c r="D123" s="1752">
        <v>2.9119999999999999</v>
      </c>
      <c r="E123" s="1753">
        <v>0.89</v>
      </c>
      <c r="F123" s="1753">
        <v>3.37</v>
      </c>
      <c r="G123" s="1654">
        <v>0.9</v>
      </c>
      <c r="H123" s="1655">
        <v>575.6</v>
      </c>
      <c r="I123" s="1754">
        <v>54.404100069492699</v>
      </c>
    </row>
    <row r="124" spans="1:9" outlineLevel="1" x14ac:dyDescent="0.2">
      <c r="A124" s="1755" t="s">
        <v>1193</v>
      </c>
      <c r="B124" s="1749"/>
      <c r="C124" s="1648">
        <v>100</v>
      </c>
      <c r="D124" s="1711">
        <v>1.98</v>
      </c>
      <c r="E124" s="1710">
        <v>0.69</v>
      </c>
      <c r="F124" s="1710">
        <v>2.65</v>
      </c>
      <c r="G124" s="1646">
        <v>0.9</v>
      </c>
      <c r="H124" s="1647">
        <v>546.20000000000005</v>
      </c>
      <c r="I124" s="1648">
        <v>54.191321860124489</v>
      </c>
    </row>
    <row r="125" spans="1:9" outlineLevel="1" x14ac:dyDescent="0.2">
      <c r="A125" s="1755" t="s">
        <v>1194</v>
      </c>
      <c r="B125" s="1749"/>
      <c r="C125" s="1648">
        <v>100</v>
      </c>
      <c r="D125" s="1711">
        <v>2.75</v>
      </c>
      <c r="E125" s="1710">
        <v>0.76</v>
      </c>
      <c r="F125" s="1710">
        <v>3.01</v>
      </c>
      <c r="G125" s="1646">
        <v>0.9</v>
      </c>
      <c r="H125" s="1647">
        <v>575.6</v>
      </c>
      <c r="I125" s="1648">
        <v>54.404100069492699</v>
      </c>
    </row>
    <row r="126" spans="1:9" outlineLevel="1" x14ac:dyDescent="0.2">
      <c r="A126" s="1756" t="s">
        <v>1195</v>
      </c>
      <c r="B126" s="1751"/>
      <c r="C126" s="1656">
        <v>100</v>
      </c>
      <c r="D126" s="1752">
        <v>2.8</v>
      </c>
      <c r="E126" s="1753">
        <v>0.85</v>
      </c>
      <c r="F126" s="1753">
        <v>3.25</v>
      </c>
      <c r="G126" s="1654">
        <v>0.9</v>
      </c>
      <c r="H126" s="1655">
        <v>575.6</v>
      </c>
      <c r="I126" s="1656">
        <v>54.404100069492699</v>
      </c>
    </row>
    <row r="127" spans="1:9" outlineLevel="1" x14ac:dyDescent="0.2">
      <c r="A127" s="1755" t="s">
        <v>1196</v>
      </c>
      <c r="B127" s="1749"/>
      <c r="C127" s="1648">
        <v>100</v>
      </c>
      <c r="D127" s="1711">
        <v>2</v>
      </c>
      <c r="E127" s="1710">
        <v>0.69</v>
      </c>
      <c r="F127" s="1710">
        <v>2.65</v>
      </c>
      <c r="G127" s="1646">
        <v>0.9</v>
      </c>
      <c r="H127" s="1647">
        <v>546.20000000000005</v>
      </c>
      <c r="I127" s="1648">
        <v>54.191321860124489</v>
      </c>
    </row>
    <row r="128" spans="1:9" outlineLevel="1" x14ac:dyDescent="0.2">
      <c r="A128" s="1755" t="s">
        <v>1197</v>
      </c>
      <c r="B128" s="1749"/>
      <c r="C128" s="1648">
        <v>100</v>
      </c>
      <c r="D128" s="1711">
        <v>2.61</v>
      </c>
      <c r="E128" s="1710">
        <v>0.76</v>
      </c>
      <c r="F128" s="1710">
        <v>3.01</v>
      </c>
      <c r="G128" s="1646">
        <v>0.9</v>
      </c>
      <c r="H128" s="1647">
        <v>576.5</v>
      </c>
      <c r="I128" s="1648">
        <v>55.056201214223762</v>
      </c>
    </row>
    <row r="129" spans="1:9" outlineLevel="1" x14ac:dyDescent="0.2">
      <c r="A129" s="1755" t="s">
        <v>1198</v>
      </c>
      <c r="B129" s="1749"/>
      <c r="C129" s="1648">
        <v>100</v>
      </c>
      <c r="D129" s="1711">
        <v>2.82</v>
      </c>
      <c r="E129" s="1710">
        <v>0.85</v>
      </c>
      <c r="F129" s="1710">
        <v>3.25</v>
      </c>
      <c r="G129" s="1646">
        <v>0.9</v>
      </c>
      <c r="H129" s="1647">
        <v>576.5</v>
      </c>
      <c r="I129" s="1648">
        <v>55.056201214223762</v>
      </c>
    </row>
    <row r="130" spans="1:9" ht="13.5" outlineLevel="1" thickBot="1" x14ac:dyDescent="0.25">
      <c r="A130" s="1757"/>
      <c r="B130" s="1758"/>
      <c r="C130" s="1759"/>
      <c r="D130" s="1760"/>
      <c r="E130" s="1761"/>
      <c r="F130" s="1761"/>
      <c r="G130" s="1762"/>
      <c r="H130" s="1732"/>
      <c r="I130" s="1694"/>
    </row>
    <row r="131" spans="1:9" ht="13.5" thickBot="1" x14ac:dyDescent="0.25">
      <c r="A131" s="1763" t="s">
        <v>1199</v>
      </c>
      <c r="B131" s="1764"/>
      <c r="C131" s="1765"/>
      <c r="D131" s="1766"/>
      <c r="E131" s="1767"/>
      <c r="F131" s="1767"/>
      <c r="G131" s="1768"/>
      <c r="H131" s="1769"/>
      <c r="I131" s="1770"/>
    </row>
    <row r="132" spans="1:9" outlineLevel="1" x14ac:dyDescent="0.2">
      <c r="A132" s="1771" t="s">
        <v>1200</v>
      </c>
      <c r="B132" s="1772"/>
      <c r="C132" s="1648">
        <v>65</v>
      </c>
      <c r="D132" s="1644">
        <v>1.56</v>
      </c>
      <c r="E132" s="1645">
        <v>0.19500000000000001</v>
      </c>
      <c r="F132" s="1645">
        <v>0.39</v>
      </c>
      <c r="G132" s="1646">
        <v>1</v>
      </c>
      <c r="H132" s="1702">
        <v>763</v>
      </c>
      <c r="I132" s="1648">
        <v>52.8</v>
      </c>
    </row>
    <row r="133" spans="1:9" outlineLevel="1" x14ac:dyDescent="0.2">
      <c r="A133" s="1773" t="s">
        <v>1201</v>
      </c>
      <c r="B133" s="1682"/>
      <c r="C133" s="1648">
        <v>22</v>
      </c>
      <c r="D133" s="1644">
        <v>0.29260000000000003</v>
      </c>
      <c r="E133" s="1645">
        <v>8.7999999999999995E-2</v>
      </c>
      <c r="F133" s="1645">
        <v>0.18479999999999999</v>
      </c>
      <c r="G133" s="1646">
        <v>1</v>
      </c>
      <c r="H133" s="1702">
        <v>519.79999999999995</v>
      </c>
      <c r="I133" s="1648">
        <v>51.7</v>
      </c>
    </row>
    <row r="134" spans="1:9" outlineLevel="1" x14ac:dyDescent="0.2">
      <c r="A134" s="1771" t="s">
        <v>1202</v>
      </c>
      <c r="B134" s="1772"/>
      <c r="C134" s="1648">
        <v>10</v>
      </c>
      <c r="D134" s="1644">
        <v>0.84000000000000008</v>
      </c>
      <c r="E134" s="1645">
        <v>0.26</v>
      </c>
      <c r="F134" s="1645">
        <v>0.17699999999999999</v>
      </c>
      <c r="G134" s="1646">
        <v>0.9</v>
      </c>
      <c r="H134" s="1647">
        <v>661.6</v>
      </c>
      <c r="I134" s="1648">
        <v>62.1</v>
      </c>
    </row>
    <row r="135" spans="1:9" outlineLevel="1" x14ac:dyDescent="0.2">
      <c r="A135" s="1771" t="s">
        <v>1203</v>
      </c>
      <c r="B135" s="1772"/>
      <c r="C135" s="1648">
        <v>25</v>
      </c>
      <c r="D135" s="1644">
        <v>1</v>
      </c>
      <c r="E135" s="1645">
        <v>0.34249999999999997</v>
      </c>
      <c r="F135" s="1645">
        <v>2.5000000000000001E-2</v>
      </c>
      <c r="G135" s="1646">
        <v>1</v>
      </c>
      <c r="H135" s="1647">
        <v>551.4</v>
      </c>
      <c r="I135" s="1648">
        <v>59</v>
      </c>
    </row>
    <row r="136" spans="1:9" outlineLevel="1" x14ac:dyDescent="0.2">
      <c r="A136" s="1771" t="s">
        <v>1204</v>
      </c>
      <c r="B136" s="1682"/>
      <c r="C136" s="1648">
        <v>91</v>
      </c>
      <c r="D136" s="1644">
        <v>9.1728000000000005</v>
      </c>
      <c r="E136" s="1645">
        <v>6.8795999999999999</v>
      </c>
      <c r="F136" s="1645">
        <v>0.98280000000000001</v>
      </c>
      <c r="G136" s="1646">
        <v>0.8</v>
      </c>
      <c r="H136" s="1647">
        <v>641.20000000000005</v>
      </c>
      <c r="I136" s="1648">
        <v>70.599999999999994</v>
      </c>
    </row>
    <row r="137" spans="1:9" outlineLevel="1" x14ac:dyDescent="0.2">
      <c r="A137" s="1771" t="s">
        <v>1205</v>
      </c>
      <c r="B137" s="1682"/>
      <c r="C137" s="1648">
        <v>60</v>
      </c>
      <c r="D137" s="1644">
        <v>3.456</v>
      </c>
      <c r="E137" s="1645">
        <v>0.69</v>
      </c>
      <c r="F137" s="1645">
        <v>0.57599999999999996</v>
      </c>
      <c r="G137" s="1646">
        <v>0.9</v>
      </c>
      <c r="H137" s="1647">
        <v>639.20000000000005</v>
      </c>
      <c r="I137" s="1648">
        <v>58.9</v>
      </c>
    </row>
    <row r="138" spans="1:9" outlineLevel="1" x14ac:dyDescent="0.2">
      <c r="A138" s="1771" t="s">
        <v>1206</v>
      </c>
      <c r="B138" s="1682"/>
      <c r="C138" s="1648">
        <v>92</v>
      </c>
      <c r="D138" s="1644">
        <v>5.6212</v>
      </c>
      <c r="E138" s="1645">
        <v>1.8952</v>
      </c>
      <c r="F138" s="1645">
        <v>1.4812000000000001</v>
      </c>
      <c r="G138" s="1646">
        <v>0.9</v>
      </c>
      <c r="H138" s="1647">
        <v>586.5</v>
      </c>
      <c r="I138" s="1648">
        <v>59.9</v>
      </c>
    </row>
    <row r="139" spans="1:9" outlineLevel="1" x14ac:dyDescent="0.2">
      <c r="A139" s="1771" t="s">
        <v>1207</v>
      </c>
      <c r="B139" s="1682"/>
      <c r="C139" s="1648">
        <v>90</v>
      </c>
      <c r="D139" s="1644">
        <v>1.0079999999999998</v>
      </c>
      <c r="E139" s="1645">
        <v>0.35100000000000003</v>
      </c>
      <c r="F139" s="1645">
        <v>1.089</v>
      </c>
      <c r="G139" s="1646">
        <v>0.9</v>
      </c>
      <c r="H139" s="1647">
        <v>485.5</v>
      </c>
      <c r="I139" s="1648">
        <v>52.5</v>
      </c>
    </row>
    <row r="140" spans="1:9" outlineLevel="1" x14ac:dyDescent="0.2">
      <c r="A140" s="1771" t="s">
        <v>1208</v>
      </c>
      <c r="B140" s="1682"/>
      <c r="C140" s="1648">
        <v>18</v>
      </c>
      <c r="D140" s="1644">
        <v>0.1404</v>
      </c>
      <c r="E140" s="1645">
        <v>0.11520000000000001</v>
      </c>
      <c r="F140" s="1645">
        <v>0.47699999999999998</v>
      </c>
      <c r="G140" s="1646">
        <v>1</v>
      </c>
      <c r="H140" s="1647">
        <v>641.1</v>
      </c>
      <c r="I140" s="1648">
        <v>50.1</v>
      </c>
    </row>
    <row r="141" spans="1:9" outlineLevel="1" x14ac:dyDescent="0.2">
      <c r="A141" s="1771" t="s">
        <v>1209</v>
      </c>
      <c r="B141" s="1682"/>
      <c r="C141" s="1648">
        <v>5.5</v>
      </c>
      <c r="D141" s="1644">
        <v>0.29039999999999994</v>
      </c>
      <c r="E141" s="1645">
        <v>8.4150000000000003E-2</v>
      </c>
      <c r="F141" s="1645">
        <v>0.36464999999999997</v>
      </c>
      <c r="G141" s="1646">
        <v>0.9</v>
      </c>
      <c r="H141" s="1647">
        <v>672</v>
      </c>
      <c r="I141" s="1648">
        <v>56.3</v>
      </c>
    </row>
    <row r="142" spans="1:9" outlineLevel="1" x14ac:dyDescent="0.2">
      <c r="A142" s="1771" t="s">
        <v>1210</v>
      </c>
      <c r="B142" s="1682"/>
      <c r="C142" s="1648">
        <v>89</v>
      </c>
      <c r="D142" s="1644">
        <v>5.3489000000000004</v>
      </c>
      <c r="E142" s="1645">
        <v>1.9580000000000002</v>
      </c>
      <c r="F142" s="1645">
        <v>1.2905</v>
      </c>
      <c r="G142" s="1646">
        <v>0.9</v>
      </c>
      <c r="H142" s="1647">
        <v>601.9</v>
      </c>
      <c r="I142" s="1648">
        <v>59.3</v>
      </c>
    </row>
    <row r="143" spans="1:9" outlineLevel="1" x14ac:dyDescent="0.2">
      <c r="A143" s="1771" t="s">
        <v>1211</v>
      </c>
      <c r="B143" s="1682"/>
      <c r="C143" s="1774">
        <v>90</v>
      </c>
      <c r="D143" s="1644">
        <v>5.3280000000000003</v>
      </c>
      <c r="E143" s="1645">
        <v>1.8540000000000001</v>
      </c>
      <c r="F143" s="1645">
        <v>1.3049999999999999</v>
      </c>
      <c r="G143" s="1646">
        <v>0.9</v>
      </c>
      <c r="H143" s="1647">
        <v>607.20000000000005</v>
      </c>
      <c r="I143" s="1648">
        <v>60.3</v>
      </c>
    </row>
    <row r="144" spans="1:9" outlineLevel="1" x14ac:dyDescent="0.2">
      <c r="A144" s="1771" t="s">
        <v>1212</v>
      </c>
      <c r="B144" s="1682"/>
      <c r="C144" s="1774">
        <v>90</v>
      </c>
      <c r="D144" s="1644">
        <v>2.6640000000000001</v>
      </c>
      <c r="E144" s="1645">
        <v>0.72</v>
      </c>
      <c r="F144" s="1645">
        <v>2.601</v>
      </c>
      <c r="G144" s="1646">
        <v>0.9</v>
      </c>
      <c r="H144" s="1647">
        <v>531.79999999999995</v>
      </c>
      <c r="I144" s="1648">
        <v>54.8</v>
      </c>
    </row>
    <row r="145" spans="1:9" outlineLevel="1" x14ac:dyDescent="0.2">
      <c r="A145" s="1771" t="s">
        <v>1213</v>
      </c>
      <c r="B145" s="1682"/>
      <c r="C145" s="1648">
        <v>8.5</v>
      </c>
      <c r="D145" s="1644">
        <v>0.48959999999999998</v>
      </c>
      <c r="E145" s="1645">
        <v>0.19464999999999999</v>
      </c>
      <c r="F145" s="1645">
        <v>0.12325</v>
      </c>
      <c r="G145" s="1646">
        <v>0.9</v>
      </c>
      <c r="H145" s="1647">
        <v>730</v>
      </c>
      <c r="I145" s="1648">
        <v>57.7</v>
      </c>
    </row>
    <row r="146" spans="1:9" outlineLevel="1" x14ac:dyDescent="0.2">
      <c r="A146" s="1771" t="s">
        <v>1214</v>
      </c>
      <c r="B146" s="1682"/>
      <c r="C146" s="1774">
        <v>89</v>
      </c>
      <c r="D146" s="1644">
        <v>3.56</v>
      </c>
      <c r="E146" s="1645">
        <v>1.4239999999999999</v>
      </c>
      <c r="F146" s="1645">
        <v>0.85439999999999994</v>
      </c>
      <c r="G146" s="1646">
        <v>1</v>
      </c>
      <c r="H146" s="1647">
        <v>703.4</v>
      </c>
      <c r="I146" s="1648">
        <v>52.8</v>
      </c>
    </row>
    <row r="147" spans="1:9" outlineLevel="1" x14ac:dyDescent="0.2">
      <c r="A147" s="1771" t="s">
        <v>1215</v>
      </c>
      <c r="B147" s="1682"/>
      <c r="C147" s="1648">
        <v>90</v>
      </c>
      <c r="D147" s="1644">
        <v>3.6</v>
      </c>
      <c r="E147" s="1645">
        <v>1.7549999999999999</v>
      </c>
      <c r="F147" s="1645">
        <v>1.5209999999999999</v>
      </c>
      <c r="G147" s="1646">
        <v>0.9</v>
      </c>
      <c r="H147" s="1647">
        <v>644.79999999999995</v>
      </c>
      <c r="I147" s="1648">
        <v>56.4</v>
      </c>
    </row>
    <row r="148" spans="1:9" outlineLevel="1" x14ac:dyDescent="0.2">
      <c r="A148" s="1771" t="s">
        <v>1216</v>
      </c>
      <c r="B148" s="1682"/>
      <c r="C148" s="1774">
        <v>92</v>
      </c>
      <c r="D148" s="1644">
        <v>4.3424000000000005</v>
      </c>
      <c r="E148" s="1645">
        <v>1.6836</v>
      </c>
      <c r="F148" s="1645">
        <v>2.3275999999999999</v>
      </c>
      <c r="G148" s="1646">
        <v>0.9</v>
      </c>
      <c r="H148" s="1647">
        <v>539.4</v>
      </c>
      <c r="I148" s="1648">
        <v>57</v>
      </c>
    </row>
    <row r="149" spans="1:9" outlineLevel="1" x14ac:dyDescent="0.2">
      <c r="A149" s="1771" t="s">
        <v>1217</v>
      </c>
      <c r="B149" s="1682"/>
      <c r="C149" s="1774">
        <v>88</v>
      </c>
      <c r="D149" s="1644">
        <v>0.37840000000000001</v>
      </c>
      <c r="E149" s="1645">
        <v>0.2024</v>
      </c>
      <c r="F149" s="1645">
        <v>0.84479999999999988</v>
      </c>
      <c r="G149" s="1646">
        <v>1</v>
      </c>
      <c r="H149" s="1647">
        <v>693.1</v>
      </c>
      <c r="I149" s="1648">
        <v>50.1</v>
      </c>
    </row>
    <row r="150" spans="1:9" outlineLevel="1" x14ac:dyDescent="0.2">
      <c r="A150" s="1771" t="s">
        <v>1218</v>
      </c>
      <c r="B150" s="1682"/>
      <c r="C150" s="1774">
        <v>91</v>
      </c>
      <c r="D150" s="1644">
        <v>1.456</v>
      </c>
      <c r="E150" s="1645">
        <v>0.1638</v>
      </c>
      <c r="F150" s="1645">
        <v>1.5833999999999999</v>
      </c>
      <c r="G150" s="1646">
        <v>0.9</v>
      </c>
      <c r="H150" s="1647">
        <v>701.2</v>
      </c>
      <c r="I150" s="1648">
        <v>51.5</v>
      </c>
    </row>
    <row r="151" spans="1:9" outlineLevel="1" x14ac:dyDescent="0.2">
      <c r="A151" s="1771" t="s">
        <v>1219</v>
      </c>
      <c r="B151" s="1682"/>
      <c r="C151" s="1648">
        <v>5</v>
      </c>
      <c r="D151" s="1644">
        <v>3.3500000000000002E-2</v>
      </c>
      <c r="E151" s="1645">
        <v>0.1535</v>
      </c>
      <c r="F151" s="1645">
        <v>0.15049999999999999</v>
      </c>
      <c r="G151" s="1646">
        <v>0.8</v>
      </c>
      <c r="H151" s="1647">
        <v>758.8</v>
      </c>
      <c r="I151" s="1648">
        <v>51.3</v>
      </c>
    </row>
    <row r="152" spans="1:9" outlineLevel="1" x14ac:dyDescent="0.2">
      <c r="A152" s="1771" t="s">
        <v>1220</v>
      </c>
      <c r="B152" s="1682"/>
      <c r="C152" s="1648">
        <v>27</v>
      </c>
      <c r="D152" s="1644">
        <v>0.36719999999999997</v>
      </c>
      <c r="E152" s="1645">
        <v>6.2100000000000002E-2</v>
      </c>
      <c r="F152" s="1645">
        <v>0.13770000000000002</v>
      </c>
      <c r="G152" s="1646">
        <v>0.9</v>
      </c>
      <c r="H152" s="1647">
        <v>686</v>
      </c>
      <c r="I152" s="1648">
        <v>51.2</v>
      </c>
    </row>
    <row r="153" spans="1:9" outlineLevel="1" x14ac:dyDescent="0.2">
      <c r="A153" s="1771" t="s">
        <v>1221</v>
      </c>
      <c r="B153" s="1682"/>
      <c r="C153" s="1774">
        <v>89</v>
      </c>
      <c r="D153" s="1644">
        <v>5.4290000000000003</v>
      </c>
      <c r="E153" s="1645">
        <v>2.4475000000000002</v>
      </c>
      <c r="F153" s="1645">
        <v>1.6554000000000002</v>
      </c>
      <c r="G153" s="1646">
        <v>0.9</v>
      </c>
      <c r="H153" s="1647">
        <v>589.9</v>
      </c>
      <c r="I153" s="1648">
        <v>60</v>
      </c>
    </row>
    <row r="154" spans="1:9" outlineLevel="1" x14ac:dyDescent="0.2">
      <c r="A154" s="1771" t="s">
        <v>1222</v>
      </c>
      <c r="B154" s="1682"/>
      <c r="C154" s="1648">
        <v>90</v>
      </c>
      <c r="D154" s="1644">
        <v>5.2740000000000009</v>
      </c>
      <c r="E154" s="1645">
        <v>2.4750000000000001</v>
      </c>
      <c r="F154" s="1645">
        <v>1.5840000000000001</v>
      </c>
      <c r="G154" s="1646">
        <v>0.9</v>
      </c>
      <c r="H154" s="1647">
        <v>633.20000000000005</v>
      </c>
      <c r="I154" s="1648">
        <v>61</v>
      </c>
    </row>
    <row r="155" spans="1:9" outlineLevel="1" x14ac:dyDescent="0.2">
      <c r="A155" s="1775" t="s">
        <v>1223</v>
      </c>
      <c r="B155" s="1682"/>
      <c r="C155" s="1774">
        <v>88</v>
      </c>
      <c r="D155" s="1644">
        <v>2.2528000000000001</v>
      </c>
      <c r="E155" s="1645">
        <v>2.0152000000000001</v>
      </c>
      <c r="F155" s="1645">
        <v>1.4871999999999999</v>
      </c>
      <c r="G155" s="1646">
        <v>1</v>
      </c>
      <c r="H155" s="1647">
        <v>589.6</v>
      </c>
      <c r="I155" s="1648">
        <v>53.6</v>
      </c>
    </row>
    <row r="156" spans="1:9" outlineLevel="1" x14ac:dyDescent="0.2">
      <c r="A156" s="1775" t="s">
        <v>1224</v>
      </c>
      <c r="B156" s="1682"/>
      <c r="C156" s="1774">
        <v>88</v>
      </c>
      <c r="D156" s="1644">
        <v>2.2791999999999999</v>
      </c>
      <c r="E156" s="1645">
        <v>2.2351999999999999</v>
      </c>
      <c r="F156" s="1645">
        <v>1.4871999999999999</v>
      </c>
      <c r="G156" s="1646">
        <v>0.9</v>
      </c>
      <c r="H156" s="1647">
        <v>573.9</v>
      </c>
      <c r="I156" s="1648">
        <v>53.7</v>
      </c>
    </row>
    <row r="157" spans="1:9" outlineLevel="1" x14ac:dyDescent="0.2">
      <c r="A157" s="1771" t="s">
        <v>1225</v>
      </c>
      <c r="B157" s="1682"/>
      <c r="C157" s="1774">
        <v>17</v>
      </c>
      <c r="D157" s="1644">
        <v>0.20400000000000001</v>
      </c>
      <c r="E157" s="1645">
        <v>8.1599999999999992E-2</v>
      </c>
      <c r="F157" s="1645">
        <v>0.23629999999999998</v>
      </c>
      <c r="G157" s="1646">
        <v>0.9</v>
      </c>
      <c r="H157" s="1647">
        <v>671.3</v>
      </c>
      <c r="I157" s="1648">
        <v>51.1</v>
      </c>
    </row>
    <row r="158" spans="1:9" outlineLevel="1" x14ac:dyDescent="0.2">
      <c r="A158" s="1771" t="s">
        <v>1226</v>
      </c>
      <c r="B158" s="1682"/>
      <c r="C158" s="1774">
        <v>88</v>
      </c>
      <c r="D158" s="1644">
        <v>7.6736000000000004</v>
      </c>
      <c r="E158" s="1645">
        <v>1.5136000000000001</v>
      </c>
      <c r="F158" s="1645">
        <v>2.4375999999999998</v>
      </c>
      <c r="G158" s="1646">
        <v>0.9</v>
      </c>
      <c r="H158" s="1647">
        <v>680.1</v>
      </c>
      <c r="I158" s="1648">
        <v>61.9</v>
      </c>
    </row>
    <row r="159" spans="1:9" outlineLevel="1" x14ac:dyDescent="0.2">
      <c r="A159" s="1771" t="s">
        <v>1227</v>
      </c>
      <c r="B159" s="1682"/>
      <c r="C159" s="1774">
        <v>88</v>
      </c>
      <c r="D159" s="1644">
        <v>7.04</v>
      </c>
      <c r="E159" s="1645">
        <v>1.4696</v>
      </c>
      <c r="F159" s="1645">
        <v>2.3319999999999999</v>
      </c>
      <c r="G159" s="1646">
        <v>0.9</v>
      </c>
      <c r="H159" s="1647">
        <v>680.6</v>
      </c>
      <c r="I159" s="1648">
        <v>60.9</v>
      </c>
    </row>
    <row r="160" spans="1:9" outlineLevel="1" x14ac:dyDescent="0.2">
      <c r="A160" s="1771" t="s">
        <v>1228</v>
      </c>
      <c r="B160" s="1682"/>
      <c r="C160" s="1774">
        <v>88</v>
      </c>
      <c r="D160" s="1644">
        <v>1.9008</v>
      </c>
      <c r="E160" s="1645">
        <v>0.3256</v>
      </c>
      <c r="F160" s="1645">
        <v>1.5224</v>
      </c>
      <c r="G160" s="1646">
        <v>1</v>
      </c>
      <c r="H160" s="1647">
        <v>603.79999999999995</v>
      </c>
      <c r="I160" s="1648">
        <v>52.7</v>
      </c>
    </row>
    <row r="161" spans="1:9" outlineLevel="1" x14ac:dyDescent="0.2">
      <c r="A161" s="1771" t="s">
        <v>1229</v>
      </c>
      <c r="B161" s="1682"/>
      <c r="C161" s="1774">
        <v>89</v>
      </c>
      <c r="D161" s="1644">
        <v>5.4112</v>
      </c>
      <c r="E161" s="1645">
        <v>2.2427999999999999</v>
      </c>
      <c r="F161" s="1645">
        <v>1.3973000000000002</v>
      </c>
      <c r="G161" s="1646">
        <v>0.9</v>
      </c>
      <c r="H161" s="1647">
        <v>503</v>
      </c>
      <c r="I161" s="1648">
        <v>61.3</v>
      </c>
    </row>
    <row r="162" spans="1:9" outlineLevel="1" x14ac:dyDescent="0.2">
      <c r="A162" s="1771" t="s">
        <v>1230</v>
      </c>
      <c r="B162" s="1682"/>
      <c r="C162" s="1648">
        <v>6.4</v>
      </c>
      <c r="D162" s="1644">
        <v>0.10112000000000002</v>
      </c>
      <c r="E162" s="1645">
        <v>0.17600000000000002</v>
      </c>
      <c r="F162" s="1645">
        <v>0.19264000000000001</v>
      </c>
      <c r="G162" s="1646">
        <v>0.9</v>
      </c>
      <c r="H162" s="1647">
        <v>742.3</v>
      </c>
      <c r="I162" s="1648">
        <v>53.5</v>
      </c>
    </row>
    <row r="163" spans="1:9" outlineLevel="1" x14ac:dyDescent="0.2">
      <c r="A163" s="1771" t="s">
        <v>1231</v>
      </c>
      <c r="B163" s="1682"/>
      <c r="C163" s="1648">
        <v>6</v>
      </c>
      <c r="D163" s="1644">
        <v>0.12959999999999999</v>
      </c>
      <c r="E163" s="1645">
        <v>9.1800000000000007E-2</v>
      </c>
      <c r="F163" s="1645">
        <v>0.18059999999999998</v>
      </c>
      <c r="G163" s="1646">
        <v>0.9</v>
      </c>
      <c r="H163" s="1647">
        <v>746.1</v>
      </c>
      <c r="I163" s="1648">
        <v>53.1</v>
      </c>
    </row>
    <row r="164" spans="1:9" outlineLevel="1" x14ac:dyDescent="0.2">
      <c r="A164" s="1771" t="s">
        <v>1232</v>
      </c>
      <c r="B164" s="1682"/>
      <c r="C164" s="1774">
        <v>90</v>
      </c>
      <c r="D164" s="1644">
        <v>1.1970000000000001</v>
      </c>
      <c r="E164" s="1645">
        <v>0.20699999999999999</v>
      </c>
      <c r="F164" s="1645">
        <v>0.48600000000000004</v>
      </c>
      <c r="G164" s="1646">
        <v>0.9</v>
      </c>
      <c r="H164" s="1647">
        <v>672.2</v>
      </c>
      <c r="I164" s="1648">
        <v>51.2</v>
      </c>
    </row>
    <row r="165" spans="1:9" outlineLevel="1" x14ac:dyDescent="0.2">
      <c r="A165" s="1771" t="s">
        <v>1233</v>
      </c>
      <c r="B165" s="1682"/>
      <c r="C165" s="1774">
        <v>87.5</v>
      </c>
      <c r="D165" s="1644">
        <v>2.4674999999999998</v>
      </c>
      <c r="E165" s="1645">
        <v>2.1087500000000001</v>
      </c>
      <c r="F165" s="1645">
        <v>1.2687499999999998</v>
      </c>
      <c r="G165" s="1646">
        <v>0.9</v>
      </c>
      <c r="H165" s="1647">
        <v>585.4</v>
      </c>
      <c r="I165" s="1648">
        <v>55</v>
      </c>
    </row>
    <row r="166" spans="1:9" outlineLevel="1" x14ac:dyDescent="0.2">
      <c r="A166" s="1771" t="s">
        <v>1234</v>
      </c>
      <c r="B166" s="1682"/>
      <c r="C166" s="1774">
        <v>88</v>
      </c>
      <c r="D166" s="1644">
        <v>2.2528000000000001</v>
      </c>
      <c r="E166" s="1645">
        <v>2.6223999999999998</v>
      </c>
      <c r="F166" s="1645">
        <v>1.2759999999999998</v>
      </c>
      <c r="G166" s="1646">
        <v>0.9</v>
      </c>
      <c r="H166" s="1647">
        <v>537.1</v>
      </c>
      <c r="I166" s="1648">
        <v>55.2</v>
      </c>
    </row>
    <row r="167" spans="1:9" outlineLevel="1" x14ac:dyDescent="0.2">
      <c r="A167" s="1771" t="s">
        <v>1235</v>
      </c>
      <c r="B167" s="1682"/>
      <c r="C167" s="1774">
        <v>87</v>
      </c>
      <c r="D167" s="1644">
        <v>2.6448</v>
      </c>
      <c r="E167" s="1645">
        <v>1.3920000000000001</v>
      </c>
      <c r="F167" s="1645">
        <v>0.9396000000000001</v>
      </c>
      <c r="G167" s="1646">
        <v>1</v>
      </c>
      <c r="H167" s="1647">
        <v>698.7</v>
      </c>
      <c r="I167" s="1648">
        <v>54.7</v>
      </c>
    </row>
    <row r="168" spans="1:9" outlineLevel="1" x14ac:dyDescent="0.2">
      <c r="A168" s="1771" t="s">
        <v>1236</v>
      </c>
      <c r="B168" s="1682"/>
      <c r="C168" s="1774">
        <v>78</v>
      </c>
      <c r="D168" s="1644">
        <v>1.6848000000000001</v>
      </c>
      <c r="E168" s="1645">
        <v>8.5800000000000001E-2</v>
      </c>
      <c r="F168" s="1645">
        <v>5.077799999999999</v>
      </c>
      <c r="G168" s="1646">
        <v>0.9</v>
      </c>
      <c r="H168" s="1647">
        <v>712.6</v>
      </c>
      <c r="I168" s="1648">
        <v>52.3</v>
      </c>
    </row>
    <row r="169" spans="1:9" ht="13.5" outlineLevel="1" thickBot="1" x14ac:dyDescent="0.25">
      <c r="A169" s="1771"/>
      <c r="B169" s="1682"/>
      <c r="C169" s="1774"/>
      <c r="D169" s="1644"/>
      <c r="E169" s="1645"/>
      <c r="F169" s="1645"/>
      <c r="G169" s="1646"/>
      <c r="H169" s="1647"/>
      <c r="I169" s="1648"/>
    </row>
    <row r="170" spans="1:9" ht="13.5" thickBot="1" x14ac:dyDescent="0.25">
      <c r="A170" s="1776" t="s">
        <v>1237</v>
      </c>
      <c r="B170" s="1777"/>
      <c r="C170" s="1778"/>
      <c r="D170" s="1779"/>
      <c r="E170" s="1780"/>
      <c r="F170" s="1780"/>
      <c r="G170" s="1781"/>
      <c r="H170" s="1782"/>
      <c r="I170" s="1783"/>
    </row>
    <row r="171" spans="1:9" x14ac:dyDescent="0.2">
      <c r="A171" s="1784" t="s">
        <v>1011</v>
      </c>
      <c r="B171" s="1773"/>
      <c r="C171" s="1785"/>
      <c r="D171" s="1786"/>
      <c r="E171" s="1787"/>
      <c r="F171" s="1787"/>
      <c r="G171" s="1646"/>
      <c r="H171" s="1647"/>
      <c r="I171" s="1648"/>
    </row>
    <row r="172" spans="1:9" ht="25.5" x14ac:dyDescent="0.2">
      <c r="A172" s="1788" t="s">
        <v>228</v>
      </c>
      <c r="B172" s="1773"/>
      <c r="C172" s="1785">
        <v>6</v>
      </c>
      <c r="D172" s="1789">
        <v>3.3</v>
      </c>
      <c r="E172" s="1790">
        <v>1.3545013545013547</v>
      </c>
      <c r="F172" s="1791">
        <v>4.2210042210042218</v>
      </c>
      <c r="G172" s="1792">
        <v>0.85000002384185802</v>
      </c>
      <c r="H172" s="1793">
        <v>350</v>
      </c>
      <c r="I172" s="1793">
        <v>55</v>
      </c>
    </row>
    <row r="173" spans="1:9" ht="25.5" x14ac:dyDescent="0.2">
      <c r="A173" s="1794" t="s">
        <v>230</v>
      </c>
      <c r="B173" s="1641"/>
      <c r="C173" s="1723">
        <v>7.5</v>
      </c>
      <c r="D173" s="1789">
        <v>4.2</v>
      </c>
      <c r="E173" s="1790">
        <v>1.7</v>
      </c>
      <c r="F173" s="1791">
        <v>5.3</v>
      </c>
      <c r="G173" s="1795">
        <v>0.85000002384185802</v>
      </c>
      <c r="H173" s="1796">
        <v>350</v>
      </c>
      <c r="I173" s="1793">
        <v>55</v>
      </c>
    </row>
    <row r="174" spans="1:9" x14ac:dyDescent="0.2">
      <c r="A174" s="1788" t="s">
        <v>231</v>
      </c>
      <c r="B174" s="1641"/>
      <c r="C174" s="1723">
        <v>6</v>
      </c>
      <c r="D174" s="1789">
        <v>3.1</v>
      </c>
      <c r="E174" s="1790">
        <v>1.3514383164939829</v>
      </c>
      <c r="F174" s="1791">
        <v>3.732543921745286</v>
      </c>
      <c r="G174" s="1795">
        <v>0.85000002384185802</v>
      </c>
      <c r="H174" s="1796">
        <v>350</v>
      </c>
      <c r="I174" s="1793">
        <v>55</v>
      </c>
    </row>
    <row r="175" spans="1:9" x14ac:dyDescent="0.2">
      <c r="A175" s="1797" t="s">
        <v>232</v>
      </c>
      <c r="B175" s="1641"/>
      <c r="C175" s="1785">
        <v>7.5</v>
      </c>
      <c r="D175" s="1789">
        <v>3.9</v>
      </c>
      <c r="E175" s="1790">
        <v>1.7</v>
      </c>
      <c r="F175" s="1791">
        <v>4.7</v>
      </c>
      <c r="G175" s="1795">
        <v>0.85000002384185802</v>
      </c>
      <c r="H175" s="1796">
        <v>350</v>
      </c>
      <c r="I175" s="1793">
        <v>55</v>
      </c>
    </row>
    <row r="176" spans="1:9" x14ac:dyDescent="0.2">
      <c r="A176" s="1797" t="s">
        <v>233</v>
      </c>
      <c r="B176" s="1641"/>
      <c r="C176" s="1785">
        <v>7.5</v>
      </c>
      <c r="D176" s="1789">
        <v>4.0999999999999996</v>
      </c>
      <c r="E176" s="1790">
        <v>1.9</v>
      </c>
      <c r="F176" s="1791">
        <v>4</v>
      </c>
      <c r="G176" s="1795">
        <v>0.85000002384185802</v>
      </c>
      <c r="H176" s="1796">
        <v>350</v>
      </c>
      <c r="I176" s="1793">
        <v>55</v>
      </c>
    </row>
    <row r="177" spans="1:9" ht="25.5" x14ac:dyDescent="0.2">
      <c r="A177" s="1797" t="s">
        <v>234</v>
      </c>
      <c r="B177" s="1641"/>
      <c r="C177" s="1785">
        <v>18.5</v>
      </c>
      <c r="D177" s="1789">
        <v>4.21</v>
      </c>
      <c r="E177" s="1790">
        <v>2.9</v>
      </c>
      <c r="F177" s="1791">
        <v>5.64</v>
      </c>
      <c r="G177" s="1795">
        <v>0.80000001192092896</v>
      </c>
      <c r="H177" s="1796">
        <v>450</v>
      </c>
      <c r="I177" s="1793">
        <v>55</v>
      </c>
    </row>
    <row r="178" spans="1:9" x14ac:dyDescent="0.2">
      <c r="A178" s="1797" t="s">
        <v>235</v>
      </c>
      <c r="B178" s="1641"/>
      <c r="C178" s="1785">
        <v>23.1</v>
      </c>
      <c r="D178" s="1789">
        <v>4.2</v>
      </c>
      <c r="E178" s="1790">
        <v>2.2599999999999998</v>
      </c>
      <c r="F178" s="1791">
        <v>7.81</v>
      </c>
      <c r="G178" s="1795">
        <v>0.80000001192092896</v>
      </c>
      <c r="H178" s="1796">
        <v>450</v>
      </c>
      <c r="I178" s="1793">
        <v>55</v>
      </c>
    </row>
    <row r="179" spans="1:9" x14ac:dyDescent="0.2">
      <c r="A179" s="1798" t="s">
        <v>1238</v>
      </c>
      <c r="B179" s="1641"/>
      <c r="C179" s="1785">
        <v>1.8</v>
      </c>
      <c r="D179" s="1789">
        <v>3.2</v>
      </c>
      <c r="E179" s="1790">
        <v>0</v>
      </c>
      <c r="F179" s="1791">
        <v>7.9</v>
      </c>
      <c r="G179" s="1795">
        <v>0.85000002384185802</v>
      </c>
      <c r="H179" s="1796">
        <v>350</v>
      </c>
      <c r="I179" s="1793">
        <v>55</v>
      </c>
    </row>
    <row r="180" spans="1:9" x14ac:dyDescent="0.2">
      <c r="A180" s="1797"/>
      <c r="B180" s="1649"/>
      <c r="C180" s="1799"/>
      <c r="D180" s="1800"/>
      <c r="E180" s="1801"/>
      <c r="F180" s="1802"/>
      <c r="G180" s="1803"/>
      <c r="H180" s="1804"/>
      <c r="I180" s="1804"/>
    </row>
    <row r="181" spans="1:9" x14ac:dyDescent="0.2">
      <c r="A181" s="1805" t="s">
        <v>1012</v>
      </c>
      <c r="B181" s="1641"/>
      <c r="C181" s="1785"/>
      <c r="D181" s="1789"/>
      <c r="E181" s="1790"/>
      <c r="F181" s="1791"/>
      <c r="G181" s="1806"/>
      <c r="H181" s="1807"/>
      <c r="I181" s="1807"/>
    </row>
    <row r="182" spans="1:9" ht="25.5" x14ac:dyDescent="0.2">
      <c r="A182" s="1808" t="s">
        <v>1239</v>
      </c>
      <c r="B182" s="1641"/>
      <c r="C182" s="1785">
        <v>5</v>
      </c>
      <c r="D182" s="1789">
        <v>4.2</v>
      </c>
      <c r="E182" s="1790">
        <v>2.2000000000000002</v>
      </c>
      <c r="F182" s="1791">
        <v>2.6</v>
      </c>
      <c r="G182" s="1795">
        <v>0.85000002384185802</v>
      </c>
      <c r="H182" s="1796">
        <v>400</v>
      </c>
      <c r="I182" s="1796">
        <v>60</v>
      </c>
    </row>
    <row r="183" spans="1:9" ht="25.5" x14ac:dyDescent="0.2">
      <c r="A183" s="1808" t="s">
        <v>239</v>
      </c>
      <c r="B183" s="1641"/>
      <c r="C183" s="1785">
        <v>5</v>
      </c>
      <c r="D183" s="1789">
        <v>4</v>
      </c>
      <c r="E183" s="1790">
        <v>1.9</v>
      </c>
      <c r="F183" s="1791">
        <v>2.5</v>
      </c>
      <c r="G183" s="1795">
        <v>0.85000002384185802</v>
      </c>
      <c r="H183" s="1796">
        <v>400</v>
      </c>
      <c r="I183" s="1796">
        <v>60</v>
      </c>
    </row>
    <row r="184" spans="1:9" ht="25.5" x14ac:dyDescent="0.2">
      <c r="A184" s="1808" t="s">
        <v>1240</v>
      </c>
      <c r="B184" s="1641"/>
      <c r="C184" s="1785">
        <v>5</v>
      </c>
      <c r="D184" s="1789">
        <v>4</v>
      </c>
      <c r="E184" s="1790">
        <v>2.2000000000000002</v>
      </c>
      <c r="F184" s="1791">
        <v>2.5</v>
      </c>
      <c r="G184" s="1795">
        <v>0.85000002384185802</v>
      </c>
      <c r="H184" s="1796">
        <v>400</v>
      </c>
      <c r="I184" s="1796">
        <v>60</v>
      </c>
    </row>
    <row r="185" spans="1:9" ht="25.5" x14ac:dyDescent="0.2">
      <c r="A185" s="1808" t="s">
        <v>1241</v>
      </c>
      <c r="B185" s="1641"/>
      <c r="C185" s="1785">
        <v>5</v>
      </c>
      <c r="D185" s="1789">
        <v>3.9</v>
      </c>
      <c r="E185" s="1790">
        <v>2.1</v>
      </c>
      <c r="F185" s="1791">
        <v>2.6</v>
      </c>
      <c r="G185" s="1795">
        <v>0.85000002384185802</v>
      </c>
      <c r="H185" s="1796">
        <v>400</v>
      </c>
      <c r="I185" s="1796">
        <v>60</v>
      </c>
    </row>
    <row r="186" spans="1:9" x14ac:dyDescent="0.2">
      <c r="A186" s="1798" t="s">
        <v>242</v>
      </c>
      <c r="B186" s="1641"/>
      <c r="C186" s="1785">
        <v>21.1</v>
      </c>
      <c r="D186" s="1789">
        <v>6.42</v>
      </c>
      <c r="E186" s="1790">
        <v>4.37</v>
      </c>
      <c r="F186" s="1791">
        <v>5.89</v>
      </c>
      <c r="G186" s="1795">
        <v>0.82499998807907104</v>
      </c>
      <c r="H186" s="1796">
        <v>400</v>
      </c>
      <c r="I186" s="1796">
        <v>60</v>
      </c>
    </row>
    <row r="187" spans="1:9" x14ac:dyDescent="0.2">
      <c r="A187" s="1798" t="s">
        <v>1242</v>
      </c>
      <c r="B187" s="1641"/>
      <c r="C187" s="1785">
        <v>1.8</v>
      </c>
      <c r="D187" s="1789">
        <v>3.3</v>
      </c>
      <c r="E187" s="1790">
        <v>0</v>
      </c>
      <c r="F187" s="1791">
        <v>3.1</v>
      </c>
      <c r="G187" s="1795">
        <v>0.85000002384185802</v>
      </c>
      <c r="H187" s="1796">
        <v>400</v>
      </c>
      <c r="I187" s="1796">
        <v>60</v>
      </c>
    </row>
    <row r="188" spans="1:9" x14ac:dyDescent="0.2">
      <c r="A188" s="1797"/>
      <c r="B188" s="1649"/>
      <c r="C188" s="1799"/>
      <c r="D188" s="1800"/>
      <c r="E188" s="1809"/>
      <c r="F188" s="1802"/>
      <c r="G188" s="1810"/>
      <c r="H188" s="1811"/>
      <c r="I188" s="1811"/>
    </row>
    <row r="189" spans="1:9" x14ac:dyDescent="0.2">
      <c r="A189" s="1812" t="s">
        <v>1013</v>
      </c>
      <c r="B189" s="1641"/>
      <c r="C189" s="1785"/>
      <c r="D189" s="1789"/>
      <c r="E189" s="1790"/>
      <c r="F189" s="1791"/>
      <c r="G189" s="1795"/>
      <c r="H189" s="1796"/>
      <c r="I189" s="1796"/>
    </row>
    <row r="190" spans="1:9" x14ac:dyDescent="0.2">
      <c r="A190" s="1794" t="s">
        <v>244</v>
      </c>
      <c r="B190" s="1641"/>
      <c r="C190" s="1785">
        <v>50</v>
      </c>
      <c r="D190" s="1789">
        <v>21.1</v>
      </c>
      <c r="E190" s="1790">
        <v>18.2</v>
      </c>
      <c r="F190" s="1791">
        <v>16.399999999999999</v>
      </c>
      <c r="G190" s="1795">
        <v>0.75</v>
      </c>
      <c r="H190" s="1796">
        <v>500</v>
      </c>
      <c r="I190" s="1796">
        <v>55</v>
      </c>
    </row>
    <row r="191" spans="1:9" x14ac:dyDescent="0.2">
      <c r="A191" s="1794" t="s">
        <v>245</v>
      </c>
      <c r="B191" s="1641"/>
      <c r="C191" s="1785">
        <v>50</v>
      </c>
      <c r="D191" s="1789">
        <v>22</v>
      </c>
      <c r="E191" s="1790">
        <v>19</v>
      </c>
      <c r="F191" s="1791">
        <v>16.399999999999999</v>
      </c>
      <c r="G191" s="1795">
        <v>0.73750001192092896</v>
      </c>
      <c r="H191" s="1796">
        <v>500</v>
      </c>
      <c r="I191" s="1796">
        <v>58</v>
      </c>
    </row>
    <row r="192" spans="1:9" x14ac:dyDescent="0.2">
      <c r="A192" s="1794" t="s">
        <v>246</v>
      </c>
      <c r="B192" s="1641"/>
      <c r="C192" s="1785">
        <v>50</v>
      </c>
      <c r="D192" s="1789">
        <v>22.1</v>
      </c>
      <c r="E192" s="1790">
        <v>20.3</v>
      </c>
      <c r="F192" s="1791">
        <v>20.6</v>
      </c>
      <c r="G192" s="1795">
        <v>0.75</v>
      </c>
      <c r="H192" s="1796">
        <v>500</v>
      </c>
      <c r="I192" s="1796">
        <v>55</v>
      </c>
    </row>
    <row r="193" spans="1:9" x14ac:dyDescent="0.2">
      <c r="A193" s="1794" t="s">
        <v>247</v>
      </c>
      <c r="B193" s="1641"/>
      <c r="C193" s="1785">
        <v>60</v>
      </c>
      <c r="D193" s="1789">
        <v>21.3</v>
      </c>
      <c r="E193" s="1790">
        <v>17</v>
      </c>
      <c r="F193" s="1791">
        <v>19.7</v>
      </c>
      <c r="G193" s="1795">
        <v>0.75</v>
      </c>
      <c r="H193" s="1796">
        <v>500</v>
      </c>
      <c r="I193" s="1796">
        <v>55</v>
      </c>
    </row>
    <row r="194" spans="1:9" ht="25.5" x14ac:dyDescent="0.2">
      <c r="A194" s="1798" t="s">
        <v>1243</v>
      </c>
      <c r="B194" s="1641"/>
      <c r="C194" s="1785">
        <v>30</v>
      </c>
      <c r="D194" s="1789">
        <v>6.5</v>
      </c>
      <c r="E194" s="1790">
        <v>6</v>
      </c>
      <c r="F194" s="1791">
        <v>6.2</v>
      </c>
      <c r="G194" s="1795">
        <v>0.75</v>
      </c>
      <c r="H194" s="1796">
        <v>500</v>
      </c>
      <c r="I194" s="1796">
        <v>55</v>
      </c>
    </row>
    <row r="195" spans="1:9" x14ac:dyDescent="0.2">
      <c r="A195" s="1797" t="s">
        <v>249</v>
      </c>
      <c r="B195" s="1641"/>
      <c r="C195" s="1785">
        <v>30</v>
      </c>
      <c r="D195" s="1789">
        <v>7.8</v>
      </c>
      <c r="E195" s="1790">
        <v>8.1</v>
      </c>
      <c r="F195" s="1791">
        <v>6.9</v>
      </c>
      <c r="G195" s="1795">
        <v>0.75</v>
      </c>
      <c r="H195" s="1796">
        <v>500</v>
      </c>
      <c r="I195" s="1796">
        <v>55</v>
      </c>
    </row>
    <row r="196" spans="1:9" x14ac:dyDescent="0.2">
      <c r="A196" s="1813"/>
      <c r="B196" s="1649"/>
      <c r="C196" s="1799"/>
      <c r="D196" s="1800"/>
      <c r="E196" s="1809"/>
      <c r="F196" s="1802"/>
      <c r="G196" s="1803"/>
      <c r="H196" s="1804"/>
      <c r="I196" s="1804"/>
    </row>
    <row r="197" spans="1:9" ht="25.5" x14ac:dyDescent="0.2">
      <c r="A197" s="1805" t="s">
        <v>1014</v>
      </c>
      <c r="B197" s="1641"/>
      <c r="C197" s="1785"/>
      <c r="D197" s="1789"/>
      <c r="E197" s="1790"/>
      <c r="F197" s="1791"/>
      <c r="G197" s="1806"/>
      <c r="H197" s="1807"/>
      <c r="I197" s="1807"/>
    </row>
    <row r="198" spans="1:9" x14ac:dyDescent="0.2">
      <c r="A198" s="1794" t="s">
        <v>251</v>
      </c>
      <c r="B198" s="1641"/>
      <c r="C198" s="1785">
        <v>30</v>
      </c>
      <c r="D198" s="1789">
        <v>3.6</v>
      </c>
      <c r="E198" s="1790">
        <v>2.7</v>
      </c>
      <c r="F198" s="1791">
        <v>9.3000000000000007</v>
      </c>
      <c r="G198" s="1795">
        <v>0.75</v>
      </c>
      <c r="H198" s="1796">
        <v>300</v>
      </c>
      <c r="I198" s="1796">
        <v>55</v>
      </c>
    </row>
    <row r="199" spans="1:9" ht="25.5" x14ac:dyDescent="0.2">
      <c r="A199" s="1788" t="s">
        <v>1244</v>
      </c>
      <c r="B199" s="1641"/>
      <c r="C199" s="1785">
        <v>30</v>
      </c>
      <c r="D199" s="1789">
        <v>5.5</v>
      </c>
      <c r="E199" s="1790">
        <v>3.1</v>
      </c>
      <c r="F199" s="1791">
        <v>11.7</v>
      </c>
      <c r="G199" s="1795">
        <v>0.80000001192092896</v>
      </c>
      <c r="H199" s="1796">
        <v>450</v>
      </c>
      <c r="I199" s="1796">
        <v>55</v>
      </c>
    </row>
    <row r="200" spans="1:9" x14ac:dyDescent="0.2">
      <c r="A200" s="1814"/>
      <c r="B200" s="1649"/>
      <c r="C200" s="1799"/>
      <c r="D200" s="1800"/>
      <c r="E200" s="1809"/>
      <c r="F200" s="1802"/>
      <c r="G200" s="1810"/>
      <c r="H200" s="1811"/>
      <c r="I200" s="1811"/>
    </row>
    <row r="201" spans="1:9" x14ac:dyDescent="0.2">
      <c r="A201" s="1815" t="s">
        <v>1245</v>
      </c>
      <c r="B201" s="1641"/>
      <c r="C201" s="1785"/>
      <c r="D201" s="1789"/>
      <c r="E201" s="1790"/>
      <c r="F201" s="1791"/>
      <c r="G201" s="1795"/>
      <c r="H201" s="1796"/>
      <c r="I201" s="1796"/>
    </row>
    <row r="202" spans="1:9" x14ac:dyDescent="0.2">
      <c r="A202" s="1797" t="s">
        <v>1246</v>
      </c>
      <c r="B202" s="1641"/>
      <c r="C202" s="1816">
        <v>7.5</v>
      </c>
      <c r="D202" s="1817">
        <v>6</v>
      </c>
      <c r="E202" s="1818">
        <v>3</v>
      </c>
      <c r="F202" s="1819">
        <v>5</v>
      </c>
      <c r="G202" s="1795">
        <v>0.44999998807907099</v>
      </c>
      <c r="H202" s="1796">
        <v>250</v>
      </c>
      <c r="I202" s="1796">
        <v>60</v>
      </c>
    </row>
    <row r="203" spans="1:9" ht="25.5" x14ac:dyDescent="0.2">
      <c r="A203" s="1788" t="s">
        <v>1247</v>
      </c>
      <c r="B203" s="1641"/>
      <c r="C203" s="1816">
        <v>5</v>
      </c>
      <c r="D203" s="1817">
        <v>1.8</v>
      </c>
      <c r="E203" s="1818">
        <v>1.6</v>
      </c>
      <c r="F203" s="1819">
        <v>0.2</v>
      </c>
      <c r="G203" s="1795">
        <v>0.69999998807907104</v>
      </c>
      <c r="H203" s="1796">
        <v>525</v>
      </c>
      <c r="I203" s="1796">
        <v>60</v>
      </c>
    </row>
    <row r="204" spans="1:9" x14ac:dyDescent="0.2">
      <c r="A204" s="1788" t="s">
        <v>1248</v>
      </c>
      <c r="B204" s="1641"/>
      <c r="C204" s="1816">
        <v>50</v>
      </c>
      <c r="D204" s="1817">
        <v>7.5</v>
      </c>
      <c r="E204" s="1818">
        <v>12</v>
      </c>
      <c r="F204" s="1819">
        <v>1</v>
      </c>
      <c r="G204" s="1795">
        <v>0.37999999523162797</v>
      </c>
      <c r="H204" s="1796">
        <v>500</v>
      </c>
      <c r="I204" s="1796">
        <v>60</v>
      </c>
    </row>
    <row r="205" spans="1:9" ht="13.5" thickBot="1" x14ac:dyDescent="0.25">
      <c r="A205" s="1820"/>
      <c r="B205" s="1688"/>
      <c r="C205" s="1728"/>
      <c r="D205" s="1821"/>
      <c r="E205" s="1822"/>
      <c r="F205" s="1823"/>
      <c r="G205" s="1762"/>
      <c r="H205" s="1694"/>
      <c r="I205" s="1694"/>
    </row>
    <row r="207" spans="1:9" x14ac:dyDescent="0.2">
      <c r="A207" s="1824" t="s">
        <v>1249</v>
      </c>
      <c r="B207" s="1824"/>
      <c r="C207" s="1825"/>
      <c r="D207" s="1825"/>
      <c r="E207" s="1825"/>
      <c r="F207" s="1825"/>
      <c r="G207" s="1824"/>
      <c r="H207" s="1826"/>
      <c r="I207" s="1826"/>
    </row>
  </sheetData>
  <sheetProtection password="9758" sheet="1" objects="1" scenarios="1"/>
  <mergeCells count="2">
    <mergeCell ref="B4:B6"/>
    <mergeCell ref="D4:F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BL33"/>
  <sheetViews>
    <sheetView zoomScaleNormal="100" workbookViewId="0">
      <selection activeCell="B7" sqref="B7"/>
    </sheetView>
  </sheetViews>
  <sheetFormatPr baseColWidth="10" defaultRowHeight="15.75" customHeight="1" x14ac:dyDescent="0.2"/>
  <cols>
    <col min="1" max="1" width="14.7109375" customWidth="1"/>
    <col min="2" max="2" width="28.85546875" customWidth="1"/>
    <col min="3" max="3" width="5" customWidth="1"/>
    <col min="4" max="6" width="5.42578125" style="315" customWidth="1"/>
    <col min="7" max="8" width="7.7109375" customWidth="1"/>
    <col min="9" max="11" width="6.5703125" customWidth="1"/>
    <col min="12" max="14" width="7" style="315" customWidth="1"/>
    <col min="15" max="17" width="7" customWidth="1"/>
    <col min="18" max="25" width="11" customWidth="1"/>
    <col min="26" max="26" width="11" hidden="1" customWidth="1"/>
    <col min="27" max="27" width="3.5703125" hidden="1" customWidth="1"/>
    <col min="28" max="33" width="11.42578125" style="619" hidden="1" customWidth="1"/>
    <col min="34" max="42" width="11.42578125" style="620" hidden="1" customWidth="1"/>
    <col min="43" max="48" width="11.42578125" hidden="1" customWidth="1"/>
    <col min="49" max="71" width="11.42578125" customWidth="1"/>
  </cols>
  <sheetData>
    <row r="1" spans="1:64" ht="15.75" customHeight="1" x14ac:dyDescent="0.25">
      <c r="A1" s="2345" t="s">
        <v>384</v>
      </c>
      <c r="B1" s="2345"/>
      <c r="C1" s="2345"/>
      <c r="J1" s="459"/>
      <c r="K1" s="459"/>
      <c r="L1" s="460"/>
      <c r="M1" s="460"/>
      <c r="S1" s="1967"/>
      <c r="T1" s="1967"/>
      <c r="U1" s="1967"/>
      <c r="V1" s="1967"/>
      <c r="W1" s="1967"/>
      <c r="X1" s="1967"/>
    </row>
    <row r="2" spans="1:64" ht="75" customHeight="1" thickBot="1" x14ac:dyDescent="0.25">
      <c r="A2" s="318"/>
      <c r="S2" s="466"/>
      <c r="T2" s="1049"/>
      <c r="U2" s="1049"/>
      <c r="V2" s="1041"/>
      <c r="W2" s="1041"/>
      <c r="X2" s="1041"/>
    </row>
    <row r="3" spans="1:64" s="319" customFormat="1" ht="15.75" customHeight="1" thickBot="1" x14ac:dyDescent="0.3">
      <c r="B3" s="318"/>
      <c r="C3" s="2346" t="s">
        <v>317</v>
      </c>
      <c r="D3" s="2347"/>
      <c r="E3" s="2347"/>
      <c r="F3" s="2347"/>
      <c r="G3" s="2347"/>
      <c r="H3" s="2347"/>
      <c r="I3" s="2347"/>
      <c r="J3" s="2347"/>
      <c r="K3" s="2348"/>
      <c r="L3" s="1311"/>
      <c r="M3" s="389"/>
      <c r="N3" s="389"/>
      <c r="O3" s="320"/>
      <c r="P3" s="320"/>
      <c r="Q3" s="320"/>
      <c r="S3" s="1041"/>
      <c r="V3" s="1041"/>
      <c r="W3" s="1041"/>
      <c r="X3" s="1041"/>
      <c r="Y3" s="701"/>
      <c r="AB3" s="621"/>
      <c r="AC3" s="621"/>
      <c r="AD3" s="621"/>
      <c r="AE3" s="621"/>
      <c r="AF3" s="621"/>
      <c r="AG3" s="621"/>
      <c r="AH3" s="622"/>
      <c r="AI3" s="622"/>
      <c r="AJ3" s="622"/>
      <c r="AK3" s="622"/>
      <c r="AL3" s="622"/>
      <c r="AM3" s="622"/>
      <c r="AN3" s="622"/>
      <c r="AO3" s="622"/>
      <c r="AP3" s="622"/>
    </row>
    <row r="4" spans="1:64" ht="15.75" customHeight="1" thickBot="1" x14ac:dyDescent="0.25">
      <c r="A4" s="343"/>
      <c r="B4" s="343"/>
      <c r="C4" s="344"/>
      <c r="D4" s="2352" t="s">
        <v>308</v>
      </c>
      <c r="E4" s="2353"/>
      <c r="F4" s="2354"/>
      <c r="G4" s="2341" t="s">
        <v>295</v>
      </c>
      <c r="H4" s="2343"/>
      <c r="I4" s="2342" t="s">
        <v>309</v>
      </c>
      <c r="J4" s="2342"/>
      <c r="K4" s="2343"/>
      <c r="L4" s="2341" t="s">
        <v>385</v>
      </c>
      <c r="M4" s="2342"/>
      <c r="N4" s="2343"/>
      <c r="O4" s="2341" t="s">
        <v>258</v>
      </c>
      <c r="P4" s="2342"/>
      <c r="Q4" s="2343"/>
      <c r="R4" s="344" t="s">
        <v>350</v>
      </c>
      <c r="S4" s="2349" t="s">
        <v>509</v>
      </c>
      <c r="T4" s="2350"/>
      <c r="U4" s="2350"/>
      <c r="V4" s="2349" t="s">
        <v>13</v>
      </c>
      <c r="W4" s="2350"/>
      <c r="X4" s="2351"/>
      <c r="Y4" s="1580"/>
      <c r="Z4" s="1045"/>
    </row>
    <row r="5" spans="1:64" ht="15.75" customHeight="1" thickBot="1" x14ac:dyDescent="0.3">
      <c r="A5" s="461" t="s">
        <v>305</v>
      </c>
      <c r="B5" s="462" t="s">
        <v>307</v>
      </c>
      <c r="C5" s="363" t="s">
        <v>213</v>
      </c>
      <c r="D5" s="345" t="s">
        <v>4</v>
      </c>
      <c r="E5" s="447" t="s">
        <v>274</v>
      </c>
      <c r="F5" s="347" t="s">
        <v>275</v>
      </c>
      <c r="G5" s="345" t="s">
        <v>0</v>
      </c>
      <c r="H5" s="446" t="s">
        <v>11</v>
      </c>
      <c r="I5" s="345" t="s">
        <v>37</v>
      </c>
      <c r="J5" s="447" t="s">
        <v>38</v>
      </c>
      <c r="K5" s="347" t="s">
        <v>39</v>
      </c>
      <c r="L5" s="346" t="s">
        <v>0</v>
      </c>
      <c r="M5" s="447" t="s">
        <v>11</v>
      </c>
      <c r="N5" s="346" t="s">
        <v>13</v>
      </c>
      <c r="O5" s="352" t="s">
        <v>37</v>
      </c>
      <c r="P5" s="353" t="s">
        <v>38</v>
      </c>
      <c r="Q5" s="347" t="s">
        <v>39</v>
      </c>
      <c r="R5" s="348" t="s">
        <v>13</v>
      </c>
      <c r="S5" s="1318" t="s">
        <v>689</v>
      </c>
      <c r="T5" s="1319" t="s">
        <v>879</v>
      </c>
      <c r="U5" s="1046" t="s">
        <v>880</v>
      </c>
      <c r="V5" s="1318" t="s">
        <v>689</v>
      </c>
      <c r="W5" s="1319" t="s">
        <v>879</v>
      </c>
      <c r="X5" s="1320" t="s">
        <v>880</v>
      </c>
      <c r="Y5" s="1581"/>
      <c r="Z5" s="1046"/>
      <c r="AE5" s="2344" t="s">
        <v>902</v>
      </c>
      <c r="AF5" s="2344"/>
    </row>
    <row r="6" spans="1:64" ht="15.75" customHeight="1" thickBot="1" x14ac:dyDescent="0.25">
      <c r="A6" s="326"/>
      <c r="B6" s="326"/>
      <c r="C6" s="326"/>
      <c r="D6" s="2335" t="s">
        <v>318</v>
      </c>
      <c r="E6" s="2337"/>
      <c r="F6" s="2336"/>
      <c r="G6" s="2335" t="s">
        <v>1</v>
      </c>
      <c r="H6" s="2336"/>
      <c r="I6" s="2335" t="s">
        <v>40</v>
      </c>
      <c r="J6" s="2337"/>
      <c r="K6" s="2337"/>
      <c r="L6" s="2339" t="s">
        <v>2</v>
      </c>
      <c r="M6" s="2338"/>
      <c r="N6" s="2340"/>
      <c r="O6" s="2338" t="s">
        <v>343</v>
      </c>
      <c r="P6" s="2337"/>
      <c r="Q6" s="2336"/>
      <c r="R6" s="329" t="s">
        <v>375</v>
      </c>
      <c r="S6" s="1050" t="s">
        <v>2</v>
      </c>
      <c r="T6" s="1053" t="s">
        <v>691</v>
      </c>
      <c r="U6" s="1051" t="s">
        <v>2</v>
      </c>
      <c r="V6" s="1050" t="s">
        <v>2</v>
      </c>
      <c r="W6" s="1053" t="s">
        <v>691</v>
      </c>
      <c r="X6" s="1052" t="s">
        <v>2</v>
      </c>
      <c r="Y6" s="696"/>
      <c r="Z6" s="1047"/>
      <c r="AB6" s="623" t="s">
        <v>305</v>
      </c>
      <c r="AE6" s="1310" t="s">
        <v>0</v>
      </c>
      <c r="AF6" s="1310" t="s">
        <v>13</v>
      </c>
    </row>
    <row r="7" spans="1:64" ht="15.75" customHeight="1" x14ac:dyDescent="0.2">
      <c r="A7" s="330"/>
      <c r="B7" s="444"/>
      <c r="C7" s="477"/>
      <c r="D7" s="478"/>
      <c r="E7" s="479"/>
      <c r="F7" s="478"/>
      <c r="G7" s="480"/>
      <c r="H7" s="481"/>
      <c r="I7" s="482"/>
      <c r="J7" s="483"/>
      <c r="K7" s="482"/>
      <c r="L7" s="480"/>
      <c r="M7" s="483"/>
      <c r="N7" s="484"/>
      <c r="O7" s="482"/>
      <c r="P7" s="483"/>
      <c r="Q7" s="482"/>
      <c r="R7" s="485"/>
      <c r="S7" s="1054"/>
      <c r="T7" s="1055"/>
      <c r="U7" s="1060"/>
      <c r="V7" s="1054"/>
      <c r="W7" s="1055"/>
      <c r="X7" s="1056"/>
      <c r="Y7" s="1582"/>
      <c r="Z7" s="1048"/>
      <c r="AA7" s="463"/>
      <c r="AB7" s="619">
        <v>1</v>
      </c>
      <c r="AC7" s="619" t="str">
        <f>INDEX(Tiere!$D$83:$D$87,$AB7)</f>
        <v xml:space="preserve"> --</v>
      </c>
      <c r="AD7" s="619" t="str">
        <f>+CONCATENATE(AC7," - ",+B7)</f>
        <v xml:space="preserve"> -- - </v>
      </c>
      <c r="AE7" s="619">
        <f>INDEX(Tiere!$I$83:$I$87,$AB7)</f>
        <v>0</v>
      </c>
      <c r="AF7" s="619">
        <f>INDEX(Tiere!$J$83:$J$87,$AB7)</f>
        <v>0</v>
      </c>
    </row>
    <row r="8" spans="1:64" ht="15.75" customHeight="1" x14ac:dyDescent="0.2">
      <c r="A8" s="317"/>
      <c r="B8" s="445"/>
      <c r="C8" s="486"/>
      <c r="D8" s="487"/>
      <c r="E8" s="488"/>
      <c r="F8" s="487"/>
      <c r="G8" s="489"/>
      <c r="H8" s="490"/>
      <c r="I8" s="491"/>
      <c r="J8" s="492"/>
      <c r="K8" s="491"/>
      <c r="L8" s="489"/>
      <c r="M8" s="492"/>
      <c r="N8" s="493"/>
      <c r="O8" s="491"/>
      <c r="P8" s="492"/>
      <c r="Q8" s="491"/>
      <c r="R8" s="494"/>
      <c r="S8" s="1057"/>
      <c r="T8" s="1058"/>
      <c r="U8" s="1061"/>
      <c r="V8" s="1057"/>
      <c r="W8" s="1058"/>
      <c r="X8" s="1059"/>
      <c r="Y8" s="1582"/>
      <c r="Z8" s="1048"/>
      <c r="AA8" s="16"/>
      <c r="AB8" s="619">
        <v>1</v>
      </c>
      <c r="AC8" s="619" t="str">
        <f>INDEX(Tiere!$D$83:$D$87,AB8)</f>
        <v xml:space="preserve"> --</v>
      </c>
      <c r="AD8" s="619" t="str">
        <f>+CONCATENATE(AC8," - ",+B8)</f>
        <v xml:space="preserve"> -- - </v>
      </c>
      <c r="AE8" s="619">
        <f>INDEX(Tiere!$I$83:$I$87,$AB8)</f>
        <v>0</v>
      </c>
      <c r="AF8" s="619">
        <f>INDEX(Tiere!$J$83:$J$87,$AB8)</f>
        <v>0</v>
      </c>
      <c r="BL8" s="365"/>
    </row>
    <row r="9" spans="1:64" ht="15.75" customHeight="1" thickBot="1" x14ac:dyDescent="0.25">
      <c r="A9" s="316"/>
      <c r="B9" s="1289"/>
      <c r="C9" s="1290"/>
      <c r="D9" s="1291"/>
      <c r="E9" s="1292"/>
      <c r="F9" s="1291"/>
      <c r="G9" s="1293"/>
      <c r="H9" s="1294"/>
      <c r="I9" s="1295"/>
      <c r="J9" s="1296"/>
      <c r="K9" s="1295"/>
      <c r="L9" s="1293"/>
      <c r="M9" s="1296"/>
      <c r="N9" s="1297"/>
      <c r="O9" s="1295"/>
      <c r="P9" s="1296"/>
      <c r="Q9" s="1295"/>
      <c r="R9" s="1298"/>
      <c r="S9" s="1057"/>
      <c r="T9" s="1058"/>
      <c r="U9" s="1061"/>
      <c r="V9" s="1057"/>
      <c r="W9" s="1058"/>
      <c r="X9" s="1059"/>
      <c r="Y9" s="1582"/>
      <c r="Z9" s="1048"/>
      <c r="AA9" s="463"/>
      <c r="AB9" s="619">
        <v>1</v>
      </c>
      <c r="AC9" s="619" t="str">
        <f>INDEX(Tiere!$D$83:$D$87,AB9)</f>
        <v xml:space="preserve"> --</v>
      </c>
      <c r="AD9" s="619" t="str">
        <f>+CONCATENATE(AC9," - ",+B9)</f>
        <v xml:space="preserve"> -- - </v>
      </c>
      <c r="AE9" s="619">
        <f>INDEX(Tiere!$I$83:$I$87,$AB9)</f>
        <v>0</v>
      </c>
      <c r="AF9" s="619">
        <f>INDEX(Tiere!$J$83:$J$87,$AB9)</f>
        <v>0</v>
      </c>
    </row>
    <row r="10" spans="1:64" ht="15.75" customHeight="1" thickBot="1" x14ac:dyDescent="0.25">
      <c r="A10" s="316"/>
      <c r="B10" s="1299"/>
      <c r="C10" s="1300"/>
      <c r="D10" s="1301"/>
      <c r="E10" s="1302"/>
      <c r="F10" s="1301"/>
      <c r="G10" s="1303"/>
      <c r="H10" s="1304"/>
      <c r="I10" s="1305"/>
      <c r="J10" s="1306"/>
      <c r="K10" s="1305"/>
      <c r="L10" s="1303"/>
      <c r="M10" s="1306"/>
      <c r="N10" s="1307"/>
      <c r="O10" s="1305"/>
      <c r="P10" s="1306"/>
      <c r="Q10" s="1305"/>
      <c r="R10" s="1308"/>
      <c r="S10" s="1057"/>
      <c r="T10" s="1058"/>
      <c r="U10" s="1061"/>
      <c r="V10" s="1057"/>
      <c r="W10" s="1058"/>
      <c r="X10" s="1059"/>
      <c r="Y10" s="1582"/>
      <c r="Z10" s="1048"/>
      <c r="AA10" s="463"/>
      <c r="AB10" s="619">
        <v>1</v>
      </c>
      <c r="AC10" s="619" t="str">
        <f>INDEX(Tiere!$D$83:$D$87,AB10)</f>
        <v xml:space="preserve"> --</v>
      </c>
      <c r="AD10" s="619" t="str">
        <f>+CONCATENATE(AC10," - ",+B10)</f>
        <v xml:space="preserve"> -- - </v>
      </c>
      <c r="AE10" s="619">
        <f>INDEX(Tiere!$I$83:$I$87,$AB10)</f>
        <v>0</v>
      </c>
      <c r="AF10" s="619">
        <f>INDEX(Tiere!$J$83:$J$87,$AB10)</f>
        <v>0</v>
      </c>
    </row>
    <row r="11" spans="1:64" ht="15.75" customHeight="1" thickBot="1" x14ac:dyDescent="0.25">
      <c r="A11" s="316"/>
      <c r="B11" s="1275"/>
      <c r="C11" s="1276"/>
      <c r="D11" s="1277"/>
      <c r="E11" s="1278"/>
      <c r="F11" s="1277"/>
      <c r="G11" s="1279"/>
      <c r="H11" s="1280"/>
      <c r="I11" s="1281"/>
      <c r="J11" s="1282"/>
      <c r="K11" s="1281"/>
      <c r="L11" s="1279"/>
      <c r="M11" s="1282"/>
      <c r="N11" s="1283"/>
      <c r="O11" s="1281"/>
      <c r="P11" s="1282"/>
      <c r="Q11" s="1281"/>
      <c r="R11" s="1284"/>
      <c r="S11" s="1285"/>
      <c r="T11" s="1286"/>
      <c r="U11" s="1287"/>
      <c r="V11" s="1285"/>
      <c r="W11" s="1286"/>
      <c r="X11" s="1288"/>
      <c r="Y11" s="1582"/>
      <c r="Z11" s="1048"/>
      <c r="AA11" s="463"/>
      <c r="AB11" s="619">
        <v>1</v>
      </c>
      <c r="AC11" s="619" t="str">
        <f>INDEX(Tiere!$D$83:$D$87,AB11)</f>
        <v xml:space="preserve"> --</v>
      </c>
      <c r="AD11" s="619" t="str">
        <f>+CONCATENATE(AC11," - ",+B11)</f>
        <v xml:space="preserve"> -- - </v>
      </c>
      <c r="AE11" s="619">
        <f>INDEX(Tiere!$I$83:$I$87,$AB11)</f>
        <v>0</v>
      </c>
      <c r="AF11" s="619">
        <f>INDEX(Tiere!$J$83:$J$87,$AB11)</f>
        <v>0</v>
      </c>
    </row>
    <row r="12" spans="1:64" ht="15.75" customHeight="1" x14ac:dyDescent="0.2">
      <c r="A12" s="34" t="s">
        <v>1113</v>
      </c>
      <c r="Y12" s="463"/>
    </row>
    <row r="13" spans="1:64" ht="15.75" customHeight="1" x14ac:dyDescent="0.2">
      <c r="Y13" s="463"/>
    </row>
    <row r="23" spans="10:10" ht="15.75" customHeight="1" x14ac:dyDescent="0.2">
      <c r="J23" s="34"/>
    </row>
    <row r="33" spans="1:10" ht="15.75" customHeight="1" x14ac:dyDescent="0.2">
      <c r="A33" s="25" t="s">
        <v>1122</v>
      </c>
      <c r="B33" s="25"/>
      <c r="C33" s="25"/>
      <c r="D33" s="25"/>
      <c r="E33" s="25"/>
      <c r="F33" s="25"/>
      <c r="G33" s="25"/>
      <c r="H33" s="25"/>
      <c r="I33" s="25"/>
      <c r="J33" s="25"/>
    </row>
  </sheetData>
  <sheetProtection password="9758" sheet="1" objects="1" scenarios="1"/>
  <customSheetViews>
    <customSheetView guid="{DDA6E6AA-9473-49A0-A3A2-76E4959B79AF}" hiddenColumns="1">
      <selection activeCell="E16" sqref="E16"/>
      <pageMargins left="0.7" right="0.7" top="0.75" bottom="0.75" header="0.3" footer="0.3"/>
      <pageSetup paperSize="9" orientation="portrait" r:id="rId1"/>
    </customSheetView>
  </customSheetViews>
  <mergeCells count="16">
    <mergeCell ref="D6:F6"/>
    <mergeCell ref="AE5:AF5"/>
    <mergeCell ref="A1:C1"/>
    <mergeCell ref="C3:K3"/>
    <mergeCell ref="S1:X1"/>
    <mergeCell ref="S4:U4"/>
    <mergeCell ref="V4:X4"/>
    <mergeCell ref="O4:Q4"/>
    <mergeCell ref="D4:F4"/>
    <mergeCell ref="G4:H4"/>
    <mergeCell ref="I4:K4"/>
    <mergeCell ref="G6:H6"/>
    <mergeCell ref="I6:K6"/>
    <mergeCell ref="O6:Q6"/>
    <mergeCell ref="L6:N6"/>
    <mergeCell ref="L4:N4"/>
  </mergeCells>
  <dataValidations disablePrompts="1" count="1">
    <dataValidation type="decimal" allowBlank="1" showInputMessage="1" showErrorMessage="1" sqref="C7:Z11">
      <formula1>0</formula1>
      <formula2>999999</formula2>
    </dataValidation>
  </dataValidations>
  <pageMargins left="0.7" right="0.7" top="0.75" bottom="0.75" header="0.3" footer="0.3"/>
  <pageSetup paperSize="9" scale="8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4361" r:id="rId5" name="Drop Down 25">
              <controlPr defaultSize="0" autoLine="0" autoPict="0">
                <anchor moveWithCells="1">
                  <from>
                    <xdr:col>0</xdr:col>
                    <xdr:colOff>19050</xdr:colOff>
                    <xdr:row>6</xdr:row>
                    <xdr:rowOff>19050</xdr:rowOff>
                  </from>
                  <to>
                    <xdr:col>0</xdr:col>
                    <xdr:colOff>971550</xdr:colOff>
                    <xdr:row>6</xdr:row>
                    <xdr:rowOff>190500</xdr:rowOff>
                  </to>
                </anchor>
              </controlPr>
            </control>
          </mc:Choice>
        </mc:AlternateContent>
        <mc:AlternateContent xmlns:mc="http://schemas.openxmlformats.org/markup-compatibility/2006">
          <mc:Choice Requires="x14">
            <control shapeId="14362" r:id="rId6" name="Drop Down 26">
              <controlPr defaultSize="0" autoLine="0" autoPict="0">
                <anchor moveWithCells="1">
                  <from>
                    <xdr:col>0</xdr:col>
                    <xdr:colOff>19050</xdr:colOff>
                    <xdr:row>7</xdr:row>
                    <xdr:rowOff>19050</xdr:rowOff>
                  </from>
                  <to>
                    <xdr:col>0</xdr:col>
                    <xdr:colOff>971550</xdr:colOff>
                    <xdr:row>7</xdr:row>
                    <xdr:rowOff>190500</xdr:rowOff>
                  </to>
                </anchor>
              </controlPr>
            </control>
          </mc:Choice>
        </mc:AlternateContent>
        <mc:AlternateContent xmlns:mc="http://schemas.openxmlformats.org/markup-compatibility/2006">
          <mc:Choice Requires="x14">
            <control shapeId="14364" r:id="rId7" name="Drop Down 28">
              <controlPr defaultSize="0" autoLine="0" autoPict="0">
                <anchor moveWithCells="1">
                  <from>
                    <xdr:col>0</xdr:col>
                    <xdr:colOff>9525</xdr:colOff>
                    <xdr:row>8</xdr:row>
                    <xdr:rowOff>19050</xdr:rowOff>
                  </from>
                  <to>
                    <xdr:col>0</xdr:col>
                    <xdr:colOff>962025</xdr:colOff>
                    <xdr:row>8</xdr:row>
                    <xdr:rowOff>190500</xdr:rowOff>
                  </to>
                </anchor>
              </controlPr>
            </control>
          </mc:Choice>
        </mc:AlternateContent>
        <mc:AlternateContent xmlns:mc="http://schemas.openxmlformats.org/markup-compatibility/2006">
          <mc:Choice Requires="x14">
            <control shapeId="15172" r:id="rId8" name="Drop Down 836">
              <controlPr defaultSize="0" autoLine="0" autoPict="0">
                <anchor moveWithCells="1">
                  <from>
                    <xdr:col>0</xdr:col>
                    <xdr:colOff>9525</xdr:colOff>
                    <xdr:row>9</xdr:row>
                    <xdr:rowOff>19050</xdr:rowOff>
                  </from>
                  <to>
                    <xdr:col>0</xdr:col>
                    <xdr:colOff>962025</xdr:colOff>
                    <xdr:row>9</xdr:row>
                    <xdr:rowOff>190500</xdr:rowOff>
                  </to>
                </anchor>
              </controlPr>
            </control>
          </mc:Choice>
        </mc:AlternateContent>
        <mc:AlternateContent xmlns:mc="http://schemas.openxmlformats.org/markup-compatibility/2006">
          <mc:Choice Requires="x14">
            <control shapeId="15173" r:id="rId9" name="Drop Down 837">
              <controlPr defaultSize="0" autoLine="0" autoPict="0">
                <anchor moveWithCells="1">
                  <from>
                    <xdr:col>0</xdr:col>
                    <xdr:colOff>9525</xdr:colOff>
                    <xdr:row>10</xdr:row>
                    <xdr:rowOff>19050</xdr:rowOff>
                  </from>
                  <to>
                    <xdr:col>0</xdr:col>
                    <xdr:colOff>962025</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AN95"/>
  <sheetViews>
    <sheetView zoomScale="80" zoomScaleNormal="80" workbookViewId="0">
      <pane xSplit="2" ySplit="9" topLeftCell="AA49" activePane="bottomRight" state="frozen"/>
      <selection activeCell="AM60" sqref="AM60"/>
      <selection pane="topRight" activeCell="AM60" sqref="AM60"/>
      <selection pane="bottomLeft" activeCell="AM60" sqref="AM60"/>
      <selection pane="bottomRight" activeCell="AJ86" sqref="AJ85:AJ86"/>
    </sheetView>
  </sheetViews>
  <sheetFormatPr baseColWidth="10" defaultRowHeight="12.75" x14ac:dyDescent="0.2"/>
  <cols>
    <col min="1" max="1" width="1" style="314" customWidth="1"/>
    <col min="2" max="2" width="49.7109375" style="314" customWidth="1"/>
    <col min="3" max="3" width="10.28515625" style="179" customWidth="1"/>
    <col min="4" max="4" width="7.140625" style="178" customWidth="1"/>
    <col min="5" max="6" width="5.7109375" style="178" customWidth="1"/>
    <col min="7" max="7" width="5.7109375" style="179" customWidth="1"/>
    <col min="8" max="9" width="5.7109375" style="178" customWidth="1"/>
    <col min="10" max="11" width="11" style="178" customWidth="1"/>
    <col min="12" max="12" width="11.28515625" style="178" customWidth="1"/>
    <col min="13" max="16" width="10.7109375" style="178" customWidth="1"/>
    <col min="17" max="17" width="14.7109375" style="178" customWidth="1"/>
    <col min="18" max="19" width="13.7109375" style="178" customWidth="1"/>
    <col min="20" max="20" width="7.85546875" style="178" customWidth="1"/>
    <col min="21" max="21" width="8.7109375" style="178" customWidth="1"/>
    <col min="22" max="22" width="12.5703125" style="180" customWidth="1"/>
    <col min="23" max="28" width="11.42578125" style="181" customWidth="1"/>
    <col min="29" max="16384" width="11.42578125" style="181"/>
  </cols>
  <sheetData>
    <row r="1" spans="1:40" x14ac:dyDescent="0.2">
      <c r="A1" s="176" t="s">
        <v>254</v>
      </c>
      <c r="B1" s="36"/>
      <c r="C1" s="177" t="s">
        <v>255</v>
      </c>
      <c r="E1" s="37"/>
      <c r="F1" s="40"/>
      <c r="H1" s="40"/>
      <c r="I1" s="40"/>
      <c r="J1" s="40"/>
      <c r="K1" s="40"/>
      <c r="L1" s="40"/>
      <c r="M1" s="40"/>
      <c r="N1" s="40"/>
      <c r="O1" s="40"/>
      <c r="P1" s="40"/>
      <c r="Q1" s="40"/>
      <c r="R1" s="40"/>
      <c r="S1" s="40"/>
      <c r="T1" s="40"/>
      <c r="U1" s="40"/>
    </row>
    <row r="2" spans="1:40" x14ac:dyDescent="0.2">
      <c r="A2" s="41"/>
      <c r="B2" s="36"/>
      <c r="C2" s="182"/>
      <c r="D2" s="40"/>
      <c r="E2" s="40"/>
      <c r="F2" s="40"/>
      <c r="G2" s="182"/>
      <c r="H2" s="40"/>
      <c r="I2" s="40"/>
      <c r="J2" s="40"/>
      <c r="K2" s="40"/>
      <c r="L2" s="40"/>
      <c r="M2" s="40"/>
      <c r="N2" s="40"/>
      <c r="O2" s="40"/>
      <c r="P2" s="40"/>
      <c r="Q2" s="40"/>
      <c r="R2" s="40"/>
      <c r="S2" s="40"/>
      <c r="T2" s="40"/>
      <c r="U2" s="40"/>
      <c r="V2" s="119" t="s">
        <v>375</v>
      </c>
    </row>
    <row r="3" spans="1:40" x14ac:dyDescent="0.2">
      <c r="A3" s="41"/>
      <c r="B3" s="448" t="s">
        <v>379</v>
      </c>
      <c r="C3" s="182"/>
      <c r="D3" s="40"/>
      <c r="E3" s="40"/>
      <c r="F3" s="40"/>
      <c r="G3" s="182"/>
      <c r="H3" s="40"/>
      <c r="I3" s="40"/>
      <c r="J3" s="40"/>
      <c r="K3" s="40"/>
      <c r="L3" s="40"/>
      <c r="M3" s="40"/>
      <c r="N3" s="40"/>
      <c r="O3" s="40"/>
      <c r="P3" s="40"/>
      <c r="Q3" s="40"/>
      <c r="R3" s="40"/>
      <c r="S3" s="40"/>
      <c r="T3" s="40"/>
      <c r="U3" s="40"/>
      <c r="V3" s="119"/>
    </row>
    <row r="4" spans="1:40" ht="13.5" thickBot="1" x14ac:dyDescent="0.25">
      <c r="A4" s="41"/>
      <c r="B4" s="36"/>
      <c r="C4" s="183"/>
      <c r="D4" s="40"/>
      <c r="E4" s="40"/>
      <c r="F4" s="40"/>
      <c r="G4" s="182"/>
      <c r="H4" s="40"/>
      <c r="I4" s="40"/>
      <c r="J4" s="40"/>
      <c r="K4" s="40"/>
      <c r="L4" s="40"/>
      <c r="M4" s="40"/>
      <c r="N4" s="40"/>
      <c r="O4" s="40"/>
      <c r="P4" s="40"/>
      <c r="Q4" s="40"/>
      <c r="R4" s="40"/>
      <c r="S4" s="40"/>
      <c r="T4" s="40"/>
      <c r="U4" s="40"/>
      <c r="V4" s="40"/>
      <c r="AG4" s="1967" t="s">
        <v>846</v>
      </c>
      <c r="AH4" s="1967"/>
      <c r="AI4" s="1967"/>
      <c r="AJ4" s="1967"/>
      <c r="AK4" s="1967"/>
      <c r="AL4" s="1967"/>
    </row>
    <row r="5" spans="1:40" ht="14.25" x14ac:dyDescent="0.2">
      <c r="A5" s="42"/>
      <c r="B5" s="43"/>
      <c r="C5" s="184" t="s">
        <v>256</v>
      </c>
      <c r="D5" s="185" t="s">
        <v>3</v>
      </c>
      <c r="E5" s="44"/>
      <c r="F5" s="44"/>
      <c r="G5" s="2357" t="s">
        <v>257</v>
      </c>
      <c r="H5" s="2358"/>
      <c r="I5" s="2358"/>
      <c r="J5" s="2359"/>
      <c r="K5" s="367" t="s">
        <v>349</v>
      </c>
      <c r="L5" s="186" t="s">
        <v>258</v>
      </c>
      <c r="M5" s="2360" t="s">
        <v>259</v>
      </c>
      <c r="N5" s="2360"/>
      <c r="O5" s="2361"/>
      <c r="P5" s="367" t="s">
        <v>349</v>
      </c>
      <c r="Q5" s="186" t="s">
        <v>260</v>
      </c>
      <c r="R5" s="186" t="s">
        <v>261</v>
      </c>
      <c r="S5" s="367" t="s">
        <v>349</v>
      </c>
      <c r="T5" s="2357" t="s">
        <v>262</v>
      </c>
      <c r="U5" s="2359"/>
      <c r="V5" s="178" t="s">
        <v>320</v>
      </c>
      <c r="W5" s="2365" t="s">
        <v>334</v>
      </c>
      <c r="X5" s="2366"/>
      <c r="Y5" s="2367"/>
      <c r="Z5" s="181" t="s">
        <v>347</v>
      </c>
      <c r="AC5" s="1967" t="s">
        <v>505</v>
      </c>
      <c r="AD5" s="1967"/>
      <c r="AE5" s="1967"/>
      <c r="AG5" s="181" t="s">
        <v>689</v>
      </c>
      <c r="AH5" s="181" t="s">
        <v>847</v>
      </c>
      <c r="AI5" s="181" t="s">
        <v>645</v>
      </c>
      <c r="AJ5" s="181" t="s">
        <v>689</v>
      </c>
      <c r="AK5" s="181" t="s">
        <v>847</v>
      </c>
      <c r="AL5" s="181" t="s">
        <v>645</v>
      </c>
      <c r="AM5" s="181" t="s">
        <v>902</v>
      </c>
    </row>
    <row r="6" spans="1:40" ht="14.25" x14ac:dyDescent="0.2">
      <c r="A6" s="56"/>
      <c r="B6" s="45" t="s">
        <v>49</v>
      </c>
      <c r="C6" s="187" t="s">
        <v>263</v>
      </c>
      <c r="D6" s="188" t="s">
        <v>264</v>
      </c>
      <c r="E6" s="46"/>
      <c r="F6" s="46"/>
      <c r="G6" s="2362" t="s">
        <v>265</v>
      </c>
      <c r="H6" s="2355"/>
      <c r="I6" s="2355"/>
      <c r="J6" s="2356"/>
      <c r="K6" s="368" t="s">
        <v>0</v>
      </c>
      <c r="L6" s="189" t="s">
        <v>37</v>
      </c>
      <c r="M6" s="2363" t="s">
        <v>265</v>
      </c>
      <c r="N6" s="2363"/>
      <c r="O6" s="2364"/>
      <c r="P6" s="368" t="s">
        <v>13</v>
      </c>
      <c r="Q6" s="190" t="s">
        <v>266</v>
      </c>
      <c r="R6" s="189" t="s">
        <v>266</v>
      </c>
      <c r="S6" s="368" t="s">
        <v>11</v>
      </c>
      <c r="T6" s="2362" t="s">
        <v>267</v>
      </c>
      <c r="U6" s="2356"/>
      <c r="V6" s="178" t="s">
        <v>13</v>
      </c>
      <c r="W6" s="2368" t="s">
        <v>335</v>
      </c>
      <c r="X6" s="2369"/>
      <c r="Y6" s="1985"/>
      <c r="Z6" s="181" t="s">
        <v>345</v>
      </c>
      <c r="AA6" s="181" t="s">
        <v>346</v>
      </c>
      <c r="AC6" s="181" t="s">
        <v>0</v>
      </c>
      <c r="AD6" s="334" t="s">
        <v>506</v>
      </c>
      <c r="AE6" s="334" t="s">
        <v>13</v>
      </c>
      <c r="AH6" s="181" t="s">
        <v>848</v>
      </c>
      <c r="AI6" s="181" t="s">
        <v>675</v>
      </c>
      <c r="AK6" s="181" t="s">
        <v>848</v>
      </c>
      <c r="AL6" s="181" t="s">
        <v>675</v>
      </c>
      <c r="AM6" s="181" t="s">
        <v>903</v>
      </c>
    </row>
    <row r="7" spans="1:40" ht="14.25" x14ac:dyDescent="0.2">
      <c r="A7" s="47"/>
      <c r="B7" s="38" t="s">
        <v>290</v>
      </c>
      <c r="C7" s="187" t="s">
        <v>268</v>
      </c>
      <c r="D7" s="188" t="s">
        <v>269</v>
      </c>
      <c r="E7" s="46"/>
      <c r="F7" s="46"/>
      <c r="G7" s="191"/>
      <c r="H7" s="192" t="s">
        <v>221</v>
      </c>
      <c r="I7" s="193"/>
      <c r="J7" s="189" t="s">
        <v>12</v>
      </c>
      <c r="K7" s="366" t="s">
        <v>268</v>
      </c>
      <c r="L7" s="194" t="s">
        <v>270</v>
      </c>
      <c r="M7" s="2355" t="s">
        <v>271</v>
      </c>
      <c r="N7" s="2355"/>
      <c r="O7" s="2356"/>
      <c r="P7" s="366" t="s">
        <v>268</v>
      </c>
      <c r="Q7" s="190" t="s">
        <v>272</v>
      </c>
      <c r="R7" s="189" t="s">
        <v>272</v>
      </c>
      <c r="S7" s="366"/>
      <c r="T7" s="118"/>
      <c r="U7" s="195" t="s">
        <v>273</v>
      </c>
      <c r="V7" s="178" t="s">
        <v>375</v>
      </c>
      <c r="W7" s="333"/>
      <c r="X7" s="334"/>
      <c r="Y7" s="335"/>
      <c r="AG7" s="181" t="s">
        <v>2</v>
      </c>
      <c r="AH7" s="181" t="s">
        <v>691</v>
      </c>
      <c r="AI7" s="181" t="s">
        <v>2</v>
      </c>
      <c r="AJ7" s="181" t="s">
        <v>2</v>
      </c>
      <c r="AK7" s="181" t="s">
        <v>691</v>
      </c>
      <c r="AL7" s="181" t="s">
        <v>2</v>
      </c>
      <c r="AM7" s="181" t="s">
        <v>904</v>
      </c>
    </row>
    <row r="8" spans="1:40" ht="15.75" thickBot="1" x14ac:dyDescent="0.3">
      <c r="A8" s="48"/>
      <c r="B8" s="49"/>
      <c r="C8" s="196"/>
      <c r="D8" s="50" t="s">
        <v>4</v>
      </c>
      <c r="E8" s="197" t="s">
        <v>274</v>
      </c>
      <c r="F8" s="197" t="s">
        <v>275</v>
      </c>
      <c r="G8" s="198">
        <v>0.05</v>
      </c>
      <c r="H8" s="199">
        <v>7.4999999999999997E-2</v>
      </c>
      <c r="I8" s="200">
        <v>0.1</v>
      </c>
      <c r="J8" s="201" t="s">
        <v>276</v>
      </c>
      <c r="K8" s="203" t="s">
        <v>295</v>
      </c>
      <c r="L8" s="202" t="s">
        <v>277</v>
      </c>
      <c r="M8" s="203" t="s">
        <v>37</v>
      </c>
      <c r="N8" s="204" t="s">
        <v>38</v>
      </c>
      <c r="O8" s="205" t="s">
        <v>39</v>
      </c>
      <c r="P8" s="203" t="s">
        <v>295</v>
      </c>
      <c r="Q8" s="206" t="s">
        <v>278</v>
      </c>
      <c r="R8" s="202" t="s">
        <v>279</v>
      </c>
      <c r="S8" s="203"/>
      <c r="T8" s="207" t="s">
        <v>0</v>
      </c>
      <c r="U8" s="208" t="s">
        <v>11</v>
      </c>
      <c r="V8" s="178"/>
      <c r="W8" s="333"/>
      <c r="X8" s="334"/>
      <c r="Y8" s="335"/>
      <c r="AG8" s="1967" t="s">
        <v>509</v>
      </c>
      <c r="AH8" s="1967"/>
      <c r="AI8" s="1967"/>
      <c r="AJ8" s="1967" t="s">
        <v>13</v>
      </c>
      <c r="AK8" s="1967"/>
      <c r="AL8" s="1967"/>
      <c r="AM8" s="181" t="s">
        <v>512</v>
      </c>
      <c r="AN8" s="181" t="s">
        <v>13</v>
      </c>
    </row>
    <row r="9" spans="1:40" x14ac:dyDescent="0.2">
      <c r="A9" s="53" t="s">
        <v>50</v>
      </c>
      <c r="B9" s="54"/>
      <c r="C9" s="209"/>
      <c r="D9" s="55"/>
      <c r="E9" s="210"/>
      <c r="F9" s="211"/>
      <c r="G9" s="212"/>
      <c r="H9" s="210"/>
      <c r="I9" s="211"/>
      <c r="J9" s="369"/>
      <c r="K9" s="270"/>
      <c r="L9" s="371"/>
      <c r="M9" s="214"/>
      <c r="N9" s="215"/>
      <c r="O9" s="375"/>
      <c r="P9" s="245"/>
      <c r="Q9" s="380"/>
      <c r="R9" s="209"/>
      <c r="S9" s="217"/>
      <c r="T9" s="217"/>
      <c r="U9" s="216"/>
      <c r="V9" s="119"/>
      <c r="W9" s="333"/>
      <c r="X9" s="334"/>
      <c r="Y9" s="335"/>
    </row>
    <row r="10" spans="1:40" ht="14.25" x14ac:dyDescent="0.2">
      <c r="A10" s="237"/>
      <c r="B10" s="238" t="s">
        <v>280</v>
      </c>
      <c r="C10" s="227"/>
      <c r="D10" s="225"/>
      <c r="E10" s="229" t="s">
        <v>219</v>
      </c>
      <c r="F10" s="230"/>
      <c r="G10" s="224"/>
      <c r="H10" s="239"/>
      <c r="I10" s="240"/>
      <c r="J10" s="370"/>
      <c r="K10" s="382"/>
      <c r="L10" s="372"/>
      <c r="M10" s="231"/>
      <c r="N10" s="232"/>
      <c r="O10" s="376"/>
      <c r="P10" s="382"/>
      <c r="Q10" s="230"/>
      <c r="R10" s="227"/>
      <c r="S10" s="382"/>
      <c r="T10" s="228"/>
      <c r="U10" s="233"/>
      <c r="V10" s="178"/>
      <c r="W10" s="333"/>
      <c r="X10" s="334"/>
      <c r="Y10" s="335"/>
    </row>
    <row r="11" spans="1:40" x14ac:dyDescent="0.2">
      <c r="A11" s="56"/>
      <c r="B11" s="51" t="s">
        <v>281</v>
      </c>
      <c r="C11" s="218">
        <v>0.3</v>
      </c>
      <c r="D11" s="235">
        <v>37</v>
      </c>
      <c r="E11" s="220">
        <v>11</v>
      </c>
      <c r="F11" s="221">
        <v>46</v>
      </c>
      <c r="G11" s="191">
        <v>12.5</v>
      </c>
      <c r="H11" s="220">
        <v>8.3000000000000007</v>
      </c>
      <c r="I11" s="221">
        <v>6.2</v>
      </c>
      <c r="J11" s="219">
        <v>7.6</v>
      </c>
      <c r="K11" s="382">
        <v>8.1999999999999993</v>
      </c>
      <c r="L11" s="226">
        <v>2.5</v>
      </c>
      <c r="M11" s="222">
        <v>4.5</v>
      </c>
      <c r="N11" s="223">
        <v>7.4</v>
      </c>
      <c r="O11" s="332">
        <v>8.9</v>
      </c>
      <c r="P11" s="382">
        <v>32.200000000000003</v>
      </c>
      <c r="Q11" s="221">
        <v>2.8</v>
      </c>
      <c r="R11" s="218">
        <v>2</v>
      </c>
      <c r="S11" s="382">
        <v>1.8</v>
      </c>
      <c r="T11" s="219">
        <v>15</v>
      </c>
      <c r="U11" s="52">
        <v>30</v>
      </c>
      <c r="V11" s="178"/>
      <c r="W11" s="336">
        <v>8.1999999999999993</v>
      </c>
      <c r="X11" s="337">
        <v>7</v>
      </c>
      <c r="Y11" s="338">
        <v>12</v>
      </c>
    </row>
    <row r="12" spans="1:40" x14ac:dyDescent="0.2">
      <c r="A12" s="56"/>
      <c r="B12" s="51" t="s">
        <v>9</v>
      </c>
      <c r="C12" s="218">
        <v>0.7</v>
      </c>
      <c r="D12" s="235">
        <v>56</v>
      </c>
      <c r="E12" s="220">
        <v>18</v>
      </c>
      <c r="F12" s="221">
        <v>69</v>
      </c>
      <c r="G12" s="191">
        <v>18.899999999999999</v>
      </c>
      <c r="H12" s="220">
        <v>12.6</v>
      </c>
      <c r="I12" s="221">
        <v>9.4</v>
      </c>
      <c r="J12" s="219">
        <v>11.5</v>
      </c>
      <c r="K12" s="382">
        <v>8.1999999999999993</v>
      </c>
      <c r="L12" s="226">
        <v>3.7</v>
      </c>
      <c r="M12" s="222">
        <v>6.8</v>
      </c>
      <c r="N12" s="223">
        <v>11.8</v>
      </c>
      <c r="O12" s="332">
        <v>14.6</v>
      </c>
      <c r="P12" s="382">
        <v>31.1</v>
      </c>
      <c r="Q12" s="221">
        <v>4.3</v>
      </c>
      <c r="R12" s="218">
        <v>3</v>
      </c>
      <c r="S12" s="382">
        <v>1.8</v>
      </c>
      <c r="T12" s="219">
        <v>15</v>
      </c>
      <c r="U12" s="52">
        <v>30</v>
      </c>
      <c r="V12" s="178"/>
      <c r="W12" s="465">
        <v>5.3</v>
      </c>
      <c r="X12" s="337">
        <v>7</v>
      </c>
      <c r="Y12" s="338">
        <v>12</v>
      </c>
    </row>
    <row r="13" spans="1:40" x14ac:dyDescent="0.2">
      <c r="A13" s="56"/>
      <c r="B13" s="51" t="s">
        <v>10</v>
      </c>
      <c r="C13" s="218">
        <v>1</v>
      </c>
      <c r="D13" s="235">
        <v>64</v>
      </c>
      <c r="E13" s="220">
        <v>21</v>
      </c>
      <c r="F13" s="221">
        <v>78</v>
      </c>
      <c r="G13" s="191">
        <v>21.5</v>
      </c>
      <c r="H13" s="220">
        <v>14.3</v>
      </c>
      <c r="I13" s="221">
        <v>10.7</v>
      </c>
      <c r="J13" s="219">
        <v>13.1</v>
      </c>
      <c r="K13" s="382">
        <v>8.1999999999999993</v>
      </c>
      <c r="L13" s="226">
        <v>4.2</v>
      </c>
      <c r="M13" s="222">
        <v>7.8</v>
      </c>
      <c r="N13" s="223">
        <v>14</v>
      </c>
      <c r="O13" s="332">
        <v>17.5</v>
      </c>
      <c r="P13" s="382">
        <v>32.1</v>
      </c>
      <c r="Q13" s="221">
        <v>4.8</v>
      </c>
      <c r="R13" s="218">
        <v>3.4</v>
      </c>
      <c r="S13" s="382">
        <v>1.8</v>
      </c>
      <c r="T13" s="219">
        <v>15</v>
      </c>
      <c r="U13" s="52">
        <v>30</v>
      </c>
      <c r="V13" s="178"/>
      <c r="W13" s="465">
        <v>4.2</v>
      </c>
      <c r="X13" s="337">
        <v>7</v>
      </c>
      <c r="Y13" s="338">
        <v>12</v>
      </c>
    </row>
    <row r="14" spans="1:40" x14ac:dyDescent="0.2">
      <c r="A14" s="56"/>
      <c r="B14" s="51" t="s">
        <v>282</v>
      </c>
      <c r="C14" s="218">
        <v>1</v>
      </c>
      <c r="D14" s="235">
        <v>100</v>
      </c>
      <c r="E14" s="220">
        <v>36</v>
      </c>
      <c r="F14" s="221">
        <v>104</v>
      </c>
      <c r="G14" s="191">
        <v>33.799999999999997</v>
      </c>
      <c r="H14" s="220">
        <v>22.5</v>
      </c>
      <c r="I14" s="221">
        <v>16.899999999999999</v>
      </c>
      <c r="J14" s="219">
        <v>19</v>
      </c>
      <c r="K14" s="382">
        <v>8.9</v>
      </c>
      <c r="L14" s="226">
        <v>4</v>
      </c>
      <c r="M14" s="222">
        <v>15</v>
      </c>
      <c r="N14" s="223">
        <v>18.600000000000001</v>
      </c>
      <c r="O14" s="332">
        <v>23.4</v>
      </c>
      <c r="P14" s="382">
        <v>21.7</v>
      </c>
      <c r="Q14" s="221">
        <v>7.3</v>
      </c>
      <c r="R14" s="218">
        <v>6</v>
      </c>
      <c r="S14" s="382">
        <v>1.8</v>
      </c>
      <c r="T14" s="219">
        <v>15</v>
      </c>
      <c r="U14" s="52">
        <v>30</v>
      </c>
      <c r="V14" s="178"/>
      <c r="W14" s="336">
        <v>4</v>
      </c>
      <c r="X14" s="337">
        <v>7</v>
      </c>
      <c r="Y14" s="338">
        <v>12</v>
      </c>
    </row>
    <row r="15" spans="1:40" x14ac:dyDescent="0.2">
      <c r="A15" s="56"/>
      <c r="B15" s="51" t="s">
        <v>283</v>
      </c>
      <c r="C15" s="218">
        <v>1</v>
      </c>
      <c r="D15" s="235">
        <v>115</v>
      </c>
      <c r="E15" s="220">
        <v>42</v>
      </c>
      <c r="F15" s="221">
        <v>116</v>
      </c>
      <c r="G15" s="191">
        <v>37.299999999999997</v>
      </c>
      <c r="H15" s="220">
        <v>24.9</v>
      </c>
      <c r="I15" s="221">
        <v>18.600000000000001</v>
      </c>
      <c r="J15" s="219">
        <v>20</v>
      </c>
      <c r="K15" s="382">
        <v>9.3000000000000007</v>
      </c>
      <c r="L15" s="226">
        <v>4</v>
      </c>
      <c r="M15" s="222">
        <v>16</v>
      </c>
      <c r="N15" s="223">
        <v>19.399999999999999</v>
      </c>
      <c r="O15" s="332">
        <v>24.4</v>
      </c>
      <c r="P15" s="382">
        <v>21.3</v>
      </c>
      <c r="Q15" s="221">
        <v>8</v>
      </c>
      <c r="R15" s="218">
        <v>6.4</v>
      </c>
      <c r="S15" s="382">
        <v>1.8</v>
      </c>
      <c r="T15" s="219">
        <v>15</v>
      </c>
      <c r="U15" s="52">
        <v>30</v>
      </c>
      <c r="V15" s="178"/>
      <c r="W15" s="336">
        <v>4</v>
      </c>
      <c r="X15" s="337">
        <v>7</v>
      </c>
      <c r="Y15" s="338">
        <v>12</v>
      </c>
    </row>
    <row r="16" spans="1:40" x14ac:dyDescent="0.2">
      <c r="A16" s="56"/>
      <c r="B16" s="51" t="s">
        <v>284</v>
      </c>
      <c r="C16" s="218">
        <v>1</v>
      </c>
      <c r="D16" s="235">
        <v>133</v>
      </c>
      <c r="E16" s="220">
        <v>47</v>
      </c>
      <c r="F16" s="221">
        <v>125</v>
      </c>
      <c r="G16" s="191">
        <v>39.299999999999997</v>
      </c>
      <c r="H16" s="220">
        <v>26.2</v>
      </c>
      <c r="I16" s="221">
        <v>19.600000000000001</v>
      </c>
      <c r="J16" s="219">
        <v>21</v>
      </c>
      <c r="K16" s="382">
        <v>9.4</v>
      </c>
      <c r="L16" s="226">
        <v>5</v>
      </c>
      <c r="M16" s="222">
        <v>17</v>
      </c>
      <c r="N16" s="223">
        <v>20.2</v>
      </c>
      <c r="O16" s="332">
        <v>25.4</v>
      </c>
      <c r="P16" s="382">
        <v>23.6</v>
      </c>
      <c r="Q16" s="221">
        <v>7.7</v>
      </c>
      <c r="R16" s="218">
        <v>6.8</v>
      </c>
      <c r="S16" s="382">
        <v>1.8</v>
      </c>
      <c r="T16" s="219">
        <v>15</v>
      </c>
      <c r="U16" s="52">
        <v>30</v>
      </c>
      <c r="V16" s="178"/>
      <c r="W16" s="336">
        <v>5</v>
      </c>
      <c r="X16" s="337">
        <v>7</v>
      </c>
      <c r="Y16" s="338">
        <v>12</v>
      </c>
    </row>
    <row r="17" spans="1:40" x14ac:dyDescent="0.2">
      <c r="A17" s="56"/>
      <c r="B17" s="51" t="s">
        <v>285</v>
      </c>
      <c r="C17" s="218">
        <v>1</v>
      </c>
      <c r="D17" s="235">
        <v>152</v>
      </c>
      <c r="E17" s="220">
        <v>52</v>
      </c>
      <c r="F17" s="221">
        <v>135</v>
      </c>
      <c r="G17" s="191">
        <v>45.3</v>
      </c>
      <c r="H17" s="220">
        <v>30.2</v>
      </c>
      <c r="I17" s="221">
        <v>22.7</v>
      </c>
      <c r="J17" s="219">
        <v>22</v>
      </c>
      <c r="K17" s="382">
        <v>10.3</v>
      </c>
      <c r="L17" s="226">
        <v>6</v>
      </c>
      <c r="M17" s="222">
        <v>17</v>
      </c>
      <c r="N17" s="223">
        <v>21</v>
      </c>
      <c r="O17" s="332">
        <v>26.4</v>
      </c>
      <c r="P17" s="382">
        <v>29.4</v>
      </c>
      <c r="Q17" s="221">
        <v>7.5</v>
      </c>
      <c r="R17" s="218">
        <v>7.2</v>
      </c>
      <c r="S17" s="382">
        <v>1.8</v>
      </c>
      <c r="T17" s="219">
        <v>15</v>
      </c>
      <c r="U17" s="52">
        <v>30</v>
      </c>
      <c r="V17" s="178"/>
      <c r="W17" s="336">
        <v>6</v>
      </c>
      <c r="X17" s="337">
        <v>7</v>
      </c>
      <c r="Y17" s="338">
        <v>12</v>
      </c>
    </row>
    <row r="18" spans="1:40" ht="14.25" x14ac:dyDescent="0.2">
      <c r="A18" s="237"/>
      <c r="B18" s="238" t="s">
        <v>286</v>
      </c>
      <c r="C18" s="227"/>
      <c r="D18" s="225"/>
      <c r="E18" s="229" t="s">
        <v>219</v>
      </c>
      <c r="F18" s="230"/>
      <c r="G18" s="224"/>
      <c r="H18" s="239"/>
      <c r="I18" s="240"/>
      <c r="J18" s="370"/>
      <c r="K18" s="241"/>
      <c r="L18" s="372"/>
      <c r="M18" s="231"/>
      <c r="N18" s="232"/>
      <c r="O18" s="376"/>
      <c r="P18" s="382"/>
      <c r="Q18" s="230"/>
      <c r="R18" s="227"/>
      <c r="S18" s="228"/>
      <c r="T18" s="228"/>
      <c r="U18" s="233"/>
      <c r="V18" s="178"/>
      <c r="W18" s="465"/>
      <c r="X18" s="466"/>
      <c r="Y18" s="467"/>
    </row>
    <row r="19" spans="1:40" x14ac:dyDescent="0.2">
      <c r="A19" s="56"/>
      <c r="B19" s="51" t="s">
        <v>281</v>
      </c>
      <c r="C19" s="218">
        <v>0.3</v>
      </c>
      <c r="D19" s="235">
        <v>47</v>
      </c>
      <c r="E19" s="220">
        <v>14</v>
      </c>
      <c r="F19" s="221">
        <v>58</v>
      </c>
      <c r="G19" s="191">
        <v>12.4</v>
      </c>
      <c r="H19" s="220">
        <v>8.3000000000000007</v>
      </c>
      <c r="I19" s="221">
        <v>6.2</v>
      </c>
      <c r="J19" s="219">
        <v>7.6</v>
      </c>
      <c r="K19" s="382">
        <v>8.1999999999999993</v>
      </c>
      <c r="L19" s="226">
        <v>2.5</v>
      </c>
      <c r="M19" s="222">
        <v>4.5</v>
      </c>
      <c r="N19" s="223">
        <v>7.4</v>
      </c>
      <c r="O19" s="332">
        <v>8.9</v>
      </c>
      <c r="P19" s="382">
        <v>32.200000000000003</v>
      </c>
      <c r="Q19" s="221">
        <v>3.5</v>
      </c>
      <c r="R19" s="218">
        <v>2</v>
      </c>
      <c r="S19" s="382">
        <v>1.8</v>
      </c>
      <c r="T19" s="219">
        <v>15</v>
      </c>
      <c r="U19" s="52">
        <v>30</v>
      </c>
      <c r="V19" s="178"/>
      <c r="W19" s="336">
        <v>8.1999999999999993</v>
      </c>
      <c r="X19" s="337">
        <v>7</v>
      </c>
      <c r="Y19" s="338">
        <v>12</v>
      </c>
    </row>
    <row r="20" spans="1:40" x14ac:dyDescent="0.2">
      <c r="A20" s="56"/>
      <c r="B20" s="51" t="s">
        <v>9</v>
      </c>
      <c r="C20" s="218">
        <v>0.7</v>
      </c>
      <c r="D20" s="235">
        <v>72</v>
      </c>
      <c r="E20" s="220">
        <v>21</v>
      </c>
      <c r="F20" s="221">
        <v>94</v>
      </c>
      <c r="G20" s="191">
        <v>19</v>
      </c>
      <c r="H20" s="220">
        <v>12.7</v>
      </c>
      <c r="I20" s="221">
        <v>9.5</v>
      </c>
      <c r="J20" s="219">
        <v>11.7</v>
      </c>
      <c r="K20" s="382">
        <v>8.1</v>
      </c>
      <c r="L20" s="226">
        <v>3.8</v>
      </c>
      <c r="M20" s="222">
        <v>6.9</v>
      </c>
      <c r="N20" s="223">
        <v>12</v>
      </c>
      <c r="O20" s="332">
        <v>14.8</v>
      </c>
      <c r="P20" s="382">
        <v>31.1</v>
      </c>
      <c r="Q20" s="221">
        <v>5.4</v>
      </c>
      <c r="R20" s="218">
        <v>3</v>
      </c>
      <c r="S20" s="382">
        <v>1.8</v>
      </c>
      <c r="T20" s="219">
        <v>15</v>
      </c>
      <c r="U20" s="52">
        <v>30</v>
      </c>
      <c r="V20" s="178"/>
      <c r="W20" s="336">
        <v>5.4</v>
      </c>
      <c r="X20" s="337">
        <v>7</v>
      </c>
      <c r="Y20" s="338">
        <v>12</v>
      </c>
    </row>
    <row r="21" spans="1:40" x14ac:dyDescent="0.2">
      <c r="A21" s="56"/>
      <c r="B21" s="51" t="s">
        <v>10</v>
      </c>
      <c r="C21" s="218">
        <v>1</v>
      </c>
      <c r="D21" s="235">
        <v>84</v>
      </c>
      <c r="E21" s="220">
        <v>23</v>
      </c>
      <c r="F21" s="221">
        <v>100</v>
      </c>
      <c r="G21" s="191">
        <v>22.2</v>
      </c>
      <c r="H21" s="220">
        <v>14.8</v>
      </c>
      <c r="I21" s="221">
        <v>11.1</v>
      </c>
      <c r="J21" s="219">
        <v>13.7</v>
      </c>
      <c r="K21" s="382">
        <v>8.1</v>
      </c>
      <c r="L21" s="226">
        <v>4.4000000000000004</v>
      </c>
      <c r="M21" s="222">
        <v>8.1</v>
      </c>
      <c r="N21" s="223">
        <v>14.5</v>
      </c>
      <c r="O21" s="332">
        <v>18.100000000000001</v>
      </c>
      <c r="P21" s="382">
        <v>32.1</v>
      </c>
      <c r="Q21" s="221">
        <v>6.3</v>
      </c>
      <c r="R21" s="218">
        <v>3.5</v>
      </c>
      <c r="S21" s="382">
        <v>1.8</v>
      </c>
      <c r="T21" s="219">
        <v>15</v>
      </c>
      <c r="U21" s="52">
        <v>30</v>
      </c>
      <c r="V21" s="178"/>
      <c r="W21" s="336">
        <v>4.4000000000000004</v>
      </c>
      <c r="X21" s="337">
        <v>7</v>
      </c>
      <c r="Y21" s="338">
        <v>12</v>
      </c>
    </row>
    <row r="22" spans="1:40" x14ac:dyDescent="0.2">
      <c r="A22" s="56"/>
      <c r="B22" s="51" t="s">
        <v>282</v>
      </c>
      <c r="C22" s="218">
        <v>1</v>
      </c>
      <c r="D22" s="235">
        <v>109</v>
      </c>
      <c r="E22" s="220">
        <v>37</v>
      </c>
      <c r="F22" s="221">
        <v>129</v>
      </c>
      <c r="G22" s="191">
        <v>36.5</v>
      </c>
      <c r="H22" s="220">
        <v>24.3</v>
      </c>
      <c r="I22" s="221">
        <v>18.2</v>
      </c>
      <c r="J22" s="219">
        <v>19</v>
      </c>
      <c r="K22" s="382">
        <v>9.6</v>
      </c>
      <c r="L22" s="226">
        <v>4</v>
      </c>
      <c r="M22" s="222">
        <v>14.4</v>
      </c>
      <c r="N22" s="223">
        <v>18.600000000000001</v>
      </c>
      <c r="O22" s="332">
        <v>23.4</v>
      </c>
      <c r="P22" s="382">
        <v>24.9</v>
      </c>
      <c r="Q22" s="221">
        <v>9.6</v>
      </c>
      <c r="R22" s="218">
        <v>6</v>
      </c>
      <c r="S22" s="382">
        <v>1.8</v>
      </c>
      <c r="T22" s="219">
        <v>15</v>
      </c>
      <c r="U22" s="52">
        <v>30</v>
      </c>
      <c r="V22" s="178"/>
      <c r="W22" s="336">
        <v>4</v>
      </c>
      <c r="X22" s="337">
        <v>7</v>
      </c>
      <c r="Y22" s="338">
        <v>12</v>
      </c>
    </row>
    <row r="23" spans="1:40" x14ac:dyDescent="0.2">
      <c r="A23" s="56"/>
      <c r="B23" s="51" t="s">
        <v>283</v>
      </c>
      <c r="C23" s="218">
        <v>1</v>
      </c>
      <c r="D23" s="235">
        <v>124</v>
      </c>
      <c r="E23" s="220">
        <v>43</v>
      </c>
      <c r="F23" s="221">
        <v>134</v>
      </c>
      <c r="G23" s="191">
        <v>38.1</v>
      </c>
      <c r="H23" s="220">
        <v>25.4</v>
      </c>
      <c r="I23" s="221">
        <v>19</v>
      </c>
      <c r="J23" s="219">
        <v>20</v>
      </c>
      <c r="K23" s="382">
        <v>9.5</v>
      </c>
      <c r="L23" s="226">
        <v>4</v>
      </c>
      <c r="M23" s="222">
        <v>15</v>
      </c>
      <c r="N23" s="223">
        <v>19.399999999999999</v>
      </c>
      <c r="O23" s="332">
        <v>24.4</v>
      </c>
      <c r="P23" s="382">
        <v>23.4</v>
      </c>
      <c r="Q23" s="221">
        <v>9.6999999999999993</v>
      </c>
      <c r="R23" s="218">
        <v>6.4</v>
      </c>
      <c r="S23" s="382">
        <v>1.8</v>
      </c>
      <c r="T23" s="219">
        <v>15</v>
      </c>
      <c r="U23" s="52">
        <v>30</v>
      </c>
      <c r="V23" s="178"/>
      <c r="W23" s="336">
        <v>4</v>
      </c>
      <c r="X23" s="337">
        <v>7</v>
      </c>
      <c r="Y23" s="338">
        <v>12</v>
      </c>
    </row>
    <row r="24" spans="1:40" x14ac:dyDescent="0.2">
      <c r="A24" s="56"/>
      <c r="B24" s="51" t="s">
        <v>284</v>
      </c>
      <c r="C24" s="218">
        <v>1</v>
      </c>
      <c r="D24" s="235">
        <v>141</v>
      </c>
      <c r="E24" s="220">
        <v>48</v>
      </c>
      <c r="F24" s="221">
        <v>143</v>
      </c>
      <c r="G24" s="191">
        <v>40.4</v>
      </c>
      <c r="H24" s="220">
        <v>26.9</v>
      </c>
      <c r="I24" s="221">
        <v>20.2</v>
      </c>
      <c r="J24" s="219">
        <v>21</v>
      </c>
      <c r="K24" s="382">
        <v>9.6</v>
      </c>
      <c r="L24" s="226">
        <v>5</v>
      </c>
      <c r="M24" s="222">
        <v>16</v>
      </c>
      <c r="N24" s="223">
        <v>20.2</v>
      </c>
      <c r="O24" s="332">
        <v>25.4</v>
      </c>
      <c r="P24" s="382">
        <v>26</v>
      </c>
      <c r="Q24" s="221">
        <v>9.5</v>
      </c>
      <c r="R24" s="218">
        <v>6.8</v>
      </c>
      <c r="S24" s="382">
        <v>1.8</v>
      </c>
      <c r="T24" s="219">
        <v>15</v>
      </c>
      <c r="U24" s="52">
        <v>30</v>
      </c>
      <c r="V24" s="178"/>
      <c r="W24" s="336">
        <v>5</v>
      </c>
      <c r="X24" s="337">
        <v>7</v>
      </c>
      <c r="Y24" s="338">
        <v>12</v>
      </c>
    </row>
    <row r="25" spans="1:40" x14ac:dyDescent="0.2">
      <c r="A25" s="56"/>
      <c r="B25" s="51"/>
      <c r="C25" s="218"/>
      <c r="D25" s="235"/>
      <c r="E25" s="220"/>
      <c r="F25" s="221"/>
      <c r="G25" s="191"/>
      <c r="H25" s="220"/>
      <c r="I25" s="221"/>
      <c r="J25" s="219"/>
      <c r="K25" s="218"/>
      <c r="L25" s="226"/>
      <c r="M25" s="222"/>
      <c r="N25" s="223"/>
      <c r="O25" s="332"/>
      <c r="P25" s="382"/>
      <c r="Q25" s="221"/>
      <c r="R25" s="218"/>
      <c r="S25" s="219"/>
      <c r="T25" s="219"/>
      <c r="U25" s="52"/>
      <c r="V25" s="178"/>
      <c r="W25" s="465"/>
      <c r="X25" s="466"/>
      <c r="Y25" s="467"/>
    </row>
    <row r="26" spans="1:40" x14ac:dyDescent="0.2">
      <c r="A26" s="56"/>
      <c r="B26" s="51" t="s">
        <v>291</v>
      </c>
      <c r="C26" s="218">
        <f>+'Berechnung Nährstoffe und Lager'!BG13</f>
        <v>0</v>
      </c>
      <c r="D26" s="235">
        <f t="shared" ref="D26:K26" si="0">+C26</f>
        <v>0</v>
      </c>
      <c r="E26" s="235">
        <f t="shared" si="0"/>
        <v>0</v>
      </c>
      <c r="F26" s="235">
        <f t="shared" si="0"/>
        <v>0</v>
      </c>
      <c r="G26" s="235">
        <f t="shared" si="0"/>
        <v>0</v>
      </c>
      <c r="H26" s="235">
        <f t="shared" si="0"/>
        <v>0</v>
      </c>
      <c r="I26" s="235">
        <f t="shared" si="0"/>
        <v>0</v>
      </c>
      <c r="J26" s="219">
        <f t="shared" si="0"/>
        <v>0</v>
      </c>
      <c r="K26" s="383">
        <f t="shared" si="0"/>
        <v>0</v>
      </c>
      <c r="L26" s="284">
        <f>+J26</f>
        <v>0</v>
      </c>
      <c r="M26" s="235">
        <f>+L26</f>
        <v>0</v>
      </c>
      <c r="N26" s="235">
        <f>+M26</f>
        <v>0</v>
      </c>
      <c r="O26" s="219">
        <f>+N26</f>
        <v>0</v>
      </c>
      <c r="P26" s="383">
        <f>+O26</f>
        <v>0</v>
      </c>
      <c r="Q26" s="284">
        <f>+O26</f>
        <v>0</v>
      </c>
      <c r="R26" s="235">
        <f>+Q26</f>
        <v>0</v>
      </c>
      <c r="S26" s="235">
        <f>+R26</f>
        <v>0</v>
      </c>
      <c r="T26" s="235">
        <f>+R26</f>
        <v>0</v>
      </c>
      <c r="U26" s="235">
        <f>+T26</f>
        <v>0</v>
      </c>
      <c r="V26" s="178"/>
      <c r="W26" s="336">
        <f t="shared" ref="W26:Y27" si="1">S26</f>
        <v>0</v>
      </c>
      <c r="X26" s="469">
        <f t="shared" si="1"/>
        <v>0</v>
      </c>
      <c r="Y26" s="338">
        <f t="shared" si="1"/>
        <v>0</v>
      </c>
    </row>
    <row r="27" spans="1:40" x14ac:dyDescent="0.2">
      <c r="A27" s="56"/>
      <c r="B27" s="51" t="s">
        <v>214</v>
      </c>
      <c r="C27" s="218">
        <f>+'Berechnung Nährstoffe und Lager'!B12</f>
        <v>0</v>
      </c>
      <c r="D27" s="235">
        <f>+C27</f>
        <v>0</v>
      </c>
      <c r="E27" s="235">
        <f t="shared" ref="E27:U27" si="2">+D27</f>
        <v>0</v>
      </c>
      <c r="F27" s="235">
        <f t="shared" si="2"/>
        <v>0</v>
      </c>
      <c r="G27" s="235">
        <f t="shared" si="2"/>
        <v>0</v>
      </c>
      <c r="H27" s="235">
        <f t="shared" si="2"/>
        <v>0</v>
      </c>
      <c r="I27" s="235">
        <f>+H27</f>
        <v>0</v>
      </c>
      <c r="J27" s="219">
        <f>+I27</f>
        <v>0</v>
      </c>
      <c r="K27" s="383">
        <f t="shared" si="2"/>
        <v>0</v>
      </c>
      <c r="L27" s="284">
        <f>+J27</f>
        <v>0</v>
      </c>
      <c r="M27" s="235">
        <f t="shared" si="2"/>
        <v>0</v>
      </c>
      <c r="N27" s="235">
        <f t="shared" si="2"/>
        <v>0</v>
      </c>
      <c r="O27" s="219">
        <f t="shared" si="2"/>
        <v>0</v>
      </c>
      <c r="P27" s="383">
        <f t="shared" si="2"/>
        <v>0</v>
      </c>
      <c r="Q27" s="284">
        <f>+O27</f>
        <v>0</v>
      </c>
      <c r="R27" s="235">
        <f>+Q27</f>
        <v>0</v>
      </c>
      <c r="S27" s="235">
        <f>+R27</f>
        <v>0</v>
      </c>
      <c r="T27" s="235">
        <f>+R27</f>
        <v>0</v>
      </c>
      <c r="U27" s="235">
        <f t="shared" si="2"/>
        <v>0</v>
      </c>
      <c r="V27" s="178"/>
      <c r="W27" s="336">
        <f t="shared" si="1"/>
        <v>0</v>
      </c>
      <c r="X27" s="469">
        <f t="shared" si="1"/>
        <v>0</v>
      </c>
      <c r="Y27" s="338">
        <f t="shared" si="1"/>
        <v>0</v>
      </c>
    </row>
    <row r="28" spans="1:40" x14ac:dyDescent="0.2">
      <c r="A28" s="56"/>
      <c r="B28" s="51" t="s">
        <v>292</v>
      </c>
      <c r="C28" s="387">
        <f>IF(C27&lt;=6000,C14,IF(AND(C27&gt;6000,C27&lt;=8000),C14+(C15-C14)/2000*(C27-6000),IF(AND(C27&gt;8000,C27&lt;=10000),C15+(C16-C15)/2000*(C27-8000),IF(AND(C27&gt;10000,C27&lt;=12000),C16+(C17-C16)/2000*(C27-10000),C17))))</f>
        <v>1</v>
      </c>
      <c r="D28" s="387">
        <f>IF(D27&lt;=6000,D14,IF(AND(D27&gt;6000,D27&lt;=8000),D14+(D15-D14)/2000*(D27-6000),IF(AND(D27&gt;8000,D27&lt;=10000),D15+(D16-D15)/2000*(D27-8000),IF(AND(D27&gt;10000,D27&lt;=12000),D16+(D17-D16)/2000*(D27-10000),D17))))</f>
        <v>100</v>
      </c>
      <c r="E28" s="387">
        <f>IF(E27&lt;=6000,E14,IF(AND(E27&gt;6000,E27&lt;=8000),E14+(E15-E14)/2000*(E27-6000),IF(AND(E27&gt;8000,E27&lt;=10000),E15+(E16-E15)/2000*(E27-8000),IF(AND(E27&gt;10000,E27&lt;=12000),E16+(E17-E16)/2000*(E27-10000),E17))))</f>
        <v>36</v>
      </c>
      <c r="F28" s="387">
        <f>IF(F27&lt;=6000,F14,IF(AND(F27&gt;6000,F27&lt;=8000),F14+(F15-F14)/2000*(F27-6000),IF(AND(F27&gt;8000,F27&lt;=10000),F15+(F16-F15)/2000*(F27-8000),IF(AND(F27&gt;10000,F27&lt;=12000),F16+(F17-F16)/2000*(F27-10000),F17))))</f>
        <v>104</v>
      </c>
      <c r="G28" s="387">
        <f t="shared" ref="G28:T28" si="3">IF(G27&lt;=6000,G14,IF(AND(G27&gt;6000,G27&lt;=8000),G14+(G15-G14)/2000*(G27-6000),IF(AND(G27&gt;8000,G27&lt;=10000),G15+(G16-G15)/2000*(G27-8000),IF(AND(G27&gt;10000,G27&lt;=12000),G16+(G17-G16)/2000*(G27-10000),G17))))</f>
        <v>33.799999999999997</v>
      </c>
      <c r="H28" s="387">
        <f t="shared" si="3"/>
        <v>22.5</v>
      </c>
      <c r="I28" s="387">
        <f t="shared" si="3"/>
        <v>16.899999999999999</v>
      </c>
      <c r="J28" s="387">
        <f>IF(J27&lt;=6000,J14,IF(AND(J27&gt;6000,J27&lt;=8000),J14+(J15-J14)/2000*(J27-6000),IF(AND(J27&gt;8000,J27&lt;=10000),J15+(J16-J15)/2000*(J27-8000),IF(AND(J27&gt;10000,J27&lt;=12000),J16+(J17-J16)/2000*(J27-10000),J17))))</f>
        <v>19</v>
      </c>
      <c r="K28" s="388">
        <f>IF(K27&lt;=6000,K14,IF(AND(K27&gt;6000,K27&lt;=8000),K14+(K15-K14)/2000*(K27-6000),IF(AND(K27&gt;8000,K27&lt;=10000),K15+(K16-K15)/2000*(K27-8000),IF(AND(K27&gt;10000,K27&lt;=12000),K16+(K17-K16)/2000*(K27-10000),K17))))</f>
        <v>8.9</v>
      </c>
      <c r="L28" s="387">
        <f t="shared" si="3"/>
        <v>4</v>
      </c>
      <c r="M28" s="387">
        <f t="shared" si="3"/>
        <v>15</v>
      </c>
      <c r="N28" s="387">
        <f t="shared" si="3"/>
        <v>18.600000000000001</v>
      </c>
      <c r="O28" s="387">
        <f t="shared" si="3"/>
        <v>23.4</v>
      </c>
      <c r="P28" s="388">
        <f t="shared" si="3"/>
        <v>21.7</v>
      </c>
      <c r="Q28" s="387">
        <f t="shared" si="3"/>
        <v>7.3</v>
      </c>
      <c r="R28" s="387">
        <f>IF(R27&lt;=6000,R14,IF(AND(R27&gt;6000,R27&lt;=8000),R14+(R15-R14)/2000*(R27-6000),IF(AND(R27&gt;8000,R27&lt;=10000),R15+(R16-R15)/2000*(R27-8000),IF(AND(R27&gt;10000,R27&lt;=12000),R16+(R17-R16)/2000*(R27-10000),R17))))</f>
        <v>6</v>
      </c>
      <c r="S28" s="388">
        <f>IF(S27&lt;=6000,S14,IF(AND(S27&gt;6000,S27&lt;=8000),S14+(S15-S14)/2000*(S27-6000),IF(AND(S27&gt;8000,S27&lt;=10000),S15+(S16-S15)/2000*(S27-8000),IF(AND(S27&gt;10000,S27&lt;=12000),S16+(S17-S16)/2000*(S27-10000),S17))))</f>
        <v>1.8</v>
      </c>
      <c r="T28" s="387">
        <f t="shared" si="3"/>
        <v>15</v>
      </c>
      <c r="U28" s="387">
        <f>IF(U27&lt;=6000,U14,IF(AND(U27&gt;6000,U27&lt;=8000),U14+(U15-U14)/2000*(U27-6000),IF(AND(U27&gt;8000,U27&lt;=10000),U15+(U16-U15)/2000*(U27-8000),IF(AND(U27&gt;10000,U27&lt;=12000),U16+(U17-U16)/2000*(U27-10000),U17))))</f>
        <v>30</v>
      </c>
      <c r="V28" s="509"/>
      <c r="W28" s="475">
        <f>IF(W27&lt;=6000,W14,IF(AND(W27&gt;6000,W27&lt;=8000),W14+(W15-W14)/2000*(W27-6000),IF(AND(W27&gt;8000,W27&lt;=10000),W15+(W16-W15)/2000*(W27-8000),IF(AND(W27&gt;10000,W27&lt;=12000),W16+(W17-W16)/2000*(W27-10000),W17))))</f>
        <v>4</v>
      </c>
      <c r="X28" s="470">
        <f>IF(X27&lt;=6000,X14,IF(AND(X27&gt;6000,X27&lt;=8000),X14+(X15-X14)/2000*(X27-6000),IF(AND(X27&gt;8000,X27&lt;=10000),X15+(X16-X15)/2000*(X27-8000),IF(AND(X27&gt;10000,X27&lt;=12000),X16+(X17-X16)/2000*(X27-10000),X17))))</f>
        <v>7</v>
      </c>
      <c r="Y28" s="471">
        <f>IF(Y27&lt;=6000,Y14,IF(AND(Y27&gt;6000,Y27&lt;=8000),Y14+(Y15-Y14)/2000*(Y27-6000),IF(AND(Y27&gt;8000,Y27&lt;=10000),Y15+(Y16-Y15)/2000*(Y27-8000),IF(AND(Y27&gt;10000,Y27&lt;=12000),Y16+(Y17-Y16)/2000*(Y27-10000),Y17))))</f>
        <v>12</v>
      </c>
    </row>
    <row r="29" spans="1:40" x14ac:dyDescent="0.2">
      <c r="A29" s="56"/>
      <c r="B29" s="51" t="s">
        <v>293</v>
      </c>
      <c r="C29" s="387">
        <f>IF(C27&lt;=6000,C22,IF(AND(C27&gt;6000,C27&lt;=8000),C22+(C23-C22)/2000*(C27-6000),IF(AND(C27&gt;8000,C27&lt;=10000),C23+(C24-C23)/2000*(C27-8000),C24)))</f>
        <v>1</v>
      </c>
      <c r="D29" s="387">
        <f>IF(D27&lt;=6000,D22,IF(AND(D27&gt;6000,D27&lt;=8000),D22+(D23-D22)/2000*(D27-6000),IF(AND(D27&gt;8000,D27&lt;=10000),D23+(D24-D23)/2000*(D27-8000),D24)))</f>
        <v>109</v>
      </c>
      <c r="E29" s="387">
        <f t="shared" ref="E29:U29" si="4">IF(E27&lt;=6000,E22,IF(AND(E27&gt;6000,E27&lt;=8000),E22+(E23-E22)/2000*(E27-6000),IF(AND(E27&gt;8000,E27&lt;=10000),E23+(E24-E23)/2000*(E27-8000),E24)))</f>
        <v>37</v>
      </c>
      <c r="F29" s="387">
        <f t="shared" si="4"/>
        <v>129</v>
      </c>
      <c r="G29" s="387">
        <f t="shared" si="4"/>
        <v>36.5</v>
      </c>
      <c r="H29" s="387">
        <f t="shared" si="4"/>
        <v>24.3</v>
      </c>
      <c r="I29" s="387">
        <f t="shared" si="4"/>
        <v>18.2</v>
      </c>
      <c r="J29" s="387">
        <f t="shared" si="4"/>
        <v>19</v>
      </c>
      <c r="K29" s="388">
        <f>IF(K27&lt;=6000,K22,IF(AND(K27&gt;6000,K27&lt;=8000),K22+(K23-K22)/2000*(K27-6000),IF(AND(K27&gt;8000,K27&lt;=10000),K23+(K24-K23)/2000*(K27-8000),K24)))</f>
        <v>9.6</v>
      </c>
      <c r="L29" s="387">
        <f t="shared" si="4"/>
        <v>4</v>
      </c>
      <c r="M29" s="387">
        <f t="shared" si="4"/>
        <v>14.4</v>
      </c>
      <c r="N29" s="387">
        <f t="shared" si="4"/>
        <v>18.600000000000001</v>
      </c>
      <c r="O29" s="387">
        <f t="shared" si="4"/>
        <v>23.4</v>
      </c>
      <c r="P29" s="388">
        <f t="shared" si="4"/>
        <v>24.9</v>
      </c>
      <c r="Q29" s="387">
        <f t="shared" si="4"/>
        <v>9.6</v>
      </c>
      <c r="R29" s="387">
        <f t="shared" si="4"/>
        <v>6</v>
      </c>
      <c r="S29" s="388">
        <f t="shared" si="4"/>
        <v>1.8</v>
      </c>
      <c r="T29" s="387">
        <f t="shared" si="4"/>
        <v>15</v>
      </c>
      <c r="U29" s="387">
        <f t="shared" si="4"/>
        <v>30</v>
      </c>
      <c r="V29" s="509"/>
      <c r="W29" s="475">
        <f>IF(W27&lt;=6000,W22,IF(AND(W27&gt;6000,W27&lt;=8000),W22+(W23-W22)/2000*(W27-6000),IF(AND(W27&gt;8000,W27&lt;=10000),W23+(W24-W23)/2000*(W27-8000),W24)))</f>
        <v>4</v>
      </c>
      <c r="X29" s="470">
        <f>IF(X27&lt;=6000,X22,IF(AND(X27&gt;6000,X27&lt;=8000),X22+(X23-X22)/2000*(X27-6000),IF(AND(X27&gt;8000,X27&lt;=10000),X23+(X24-X23)/2000*(X27-8000),X24)))</f>
        <v>7</v>
      </c>
      <c r="Y29" s="471">
        <f>IF(Y27&lt;=6000,Y22,IF(AND(Y27&gt;6000,Y27&lt;=8000),Y22+(Y23-Y22)/2000*(Y27-6000),IF(AND(Y27&gt;8000,Y27&lt;=10000),Y23+(Y24-Y23)/2000*(Y27-8000),Y24)))</f>
        <v>12</v>
      </c>
    </row>
    <row r="30" spans="1:40" x14ac:dyDescent="0.2">
      <c r="A30" s="56"/>
      <c r="B30" s="51"/>
      <c r="C30" s="235"/>
      <c r="D30" s="235"/>
      <c r="E30" s="235"/>
      <c r="F30" s="235"/>
      <c r="G30" s="235"/>
      <c r="H30" s="235"/>
      <c r="I30" s="235"/>
      <c r="J30" s="219"/>
      <c r="K30" s="218"/>
      <c r="L30" s="284"/>
      <c r="M30" s="235"/>
      <c r="N30" s="235"/>
      <c r="O30" s="219"/>
      <c r="P30" s="382"/>
      <c r="Q30" s="284"/>
      <c r="R30" s="235"/>
      <c r="S30" s="235"/>
      <c r="T30" s="235"/>
      <c r="U30" s="235"/>
      <c r="V30" s="178"/>
      <c r="W30" s="465"/>
      <c r="X30" s="466"/>
      <c r="Y30" s="467"/>
    </row>
    <row r="31" spans="1:40" x14ac:dyDescent="0.2">
      <c r="A31" s="56"/>
      <c r="B31" s="51" t="s">
        <v>22</v>
      </c>
      <c r="C31" s="18">
        <f>IF(C$26&lt;=0.65,C28,IF(C$26&gt;=0.85,C29,((0.85-C$26)*5*C28)+((C$26-0.65)*5*C29)))</f>
        <v>1</v>
      </c>
      <c r="D31" s="18">
        <f>IF(D$26&lt;=0.65,D28,IF(D$26&gt;=0.85,D29,((0.85-D$26)*5*D28)+((D$26-0.65)*5*D29)))</f>
        <v>100</v>
      </c>
      <c r="E31" s="18">
        <f t="shared" ref="E31:Y31" si="5">IF(E$26&lt;=0.65,E28,IF(E$26&gt;=0.85,E29,((0.85-E$26)*5*E28)+((E$26-0.65)*5*E29)))</f>
        <v>36</v>
      </c>
      <c r="F31" s="18">
        <f t="shared" si="5"/>
        <v>104</v>
      </c>
      <c r="G31" s="18">
        <f t="shared" si="5"/>
        <v>33.799999999999997</v>
      </c>
      <c r="H31" s="18">
        <f t="shared" si="5"/>
        <v>22.5</v>
      </c>
      <c r="I31" s="18">
        <f>IF(I$26&lt;=0.65,I28,IF(I$26&gt;=0.85,I29,((0.85-I$26)*5*I28)+((I$26-0.65)*5*I29)))</f>
        <v>16.899999999999999</v>
      </c>
      <c r="J31" s="18">
        <f>IF(J$26&lt;=0.65,J28,IF(J$26&gt;=0.85,J29,((0.85-J$26)*5*J28)+((J$26-0.65)*5*J29)))</f>
        <v>19</v>
      </c>
      <c r="K31" s="384">
        <f>IF(K$26&lt;=0.65,K28,IF(K$26&gt;=0.85,K29,((0.85-K$26)*5*K28)+((K$26-0.65)*5*K29)))</f>
        <v>8.9</v>
      </c>
      <c r="L31" s="18">
        <f t="shared" si="5"/>
        <v>4</v>
      </c>
      <c r="M31" s="18">
        <f t="shared" si="5"/>
        <v>15</v>
      </c>
      <c r="N31" s="18">
        <f t="shared" si="5"/>
        <v>18.600000000000001</v>
      </c>
      <c r="O31" s="18">
        <f t="shared" si="5"/>
        <v>23.4</v>
      </c>
      <c r="P31" s="384">
        <f t="shared" si="5"/>
        <v>21.7</v>
      </c>
      <c r="Q31" s="18">
        <f>IF(Q$26&lt;=0.65,Q28,IF(Q$26&gt;=0.85,Q29,((0.85-Q$26)*5*Q28)+((Q$26-0.65)*5*Q29)))</f>
        <v>7.3</v>
      </c>
      <c r="R31" s="18">
        <f t="shared" si="5"/>
        <v>6</v>
      </c>
      <c r="S31" s="384">
        <f>IF(S$26&lt;=0.65,S28,IF(S$26&gt;=0.85,S29,((0.85-S$26)*5*S28)+((S$26-0.65)*5*S29)))</f>
        <v>1.8</v>
      </c>
      <c r="T31" s="18">
        <f t="shared" si="5"/>
        <v>15</v>
      </c>
      <c r="U31" s="18">
        <f t="shared" si="5"/>
        <v>30</v>
      </c>
      <c r="V31" s="510">
        <v>0.9</v>
      </c>
      <c r="W31" s="476">
        <f>IF(W$26&lt;=0.65,W28,IF(W$26&gt;=0.85,W29,((0.85-W$26)*5*W28)+((W$26-0.65)*5*W29)))</f>
        <v>4</v>
      </c>
      <c r="X31" s="472">
        <f t="shared" si="5"/>
        <v>7</v>
      </c>
      <c r="Y31" s="473">
        <f t="shared" si="5"/>
        <v>12</v>
      </c>
      <c r="Z31" s="364">
        <v>1</v>
      </c>
      <c r="AA31" s="364">
        <v>2</v>
      </c>
      <c r="AB31" s="364">
        <f>IF('Berechnung Nährstoffe und Lager'!$X$5&lt;3,Z31,AA31)</f>
        <v>1</v>
      </c>
      <c r="AC31" s="364">
        <v>50</v>
      </c>
      <c r="AD31" s="181">
        <v>90</v>
      </c>
      <c r="AE31" s="181">
        <v>10</v>
      </c>
      <c r="AG31" s="1549">
        <v>0.85</v>
      </c>
      <c r="AH31" s="181">
        <v>350</v>
      </c>
      <c r="AI31" s="181">
        <v>55</v>
      </c>
      <c r="AJ31" s="1549">
        <v>0.8</v>
      </c>
      <c r="AK31" s="181">
        <v>450</v>
      </c>
      <c r="AL31" s="181">
        <v>55</v>
      </c>
      <c r="AM31" s="181">
        <v>40</v>
      </c>
      <c r="AN31" s="181">
        <v>100</v>
      </c>
    </row>
    <row r="32" spans="1:40" x14ac:dyDescent="0.2">
      <c r="A32" s="56"/>
      <c r="B32" s="51" t="s">
        <v>7</v>
      </c>
      <c r="C32" s="218">
        <v>0.3</v>
      </c>
      <c r="D32" s="219">
        <v>22</v>
      </c>
      <c r="E32" s="220">
        <v>7.6</v>
      </c>
      <c r="F32" s="220">
        <v>22.6</v>
      </c>
      <c r="G32" s="191">
        <v>7.5</v>
      </c>
      <c r="H32" s="220">
        <v>5</v>
      </c>
      <c r="I32" s="221">
        <v>3.7</v>
      </c>
      <c r="J32" s="219">
        <v>3.3</v>
      </c>
      <c r="K32" s="382">
        <v>11.4</v>
      </c>
      <c r="L32" s="226">
        <v>1.5</v>
      </c>
      <c r="M32" s="222">
        <v>2.7</v>
      </c>
      <c r="N32" s="223">
        <v>3.5</v>
      </c>
      <c r="O32" s="332">
        <v>4.5999999999999996</v>
      </c>
      <c r="P32" s="382">
        <v>38</v>
      </c>
      <c r="Q32" s="230">
        <v>1.7</v>
      </c>
      <c r="R32" s="218">
        <v>1.2</v>
      </c>
      <c r="S32" s="382">
        <v>1.8</v>
      </c>
      <c r="T32" s="225">
        <v>15</v>
      </c>
      <c r="U32" s="226">
        <v>30</v>
      </c>
      <c r="V32" s="178">
        <v>0.9</v>
      </c>
      <c r="W32" s="332">
        <v>5</v>
      </c>
      <c r="X32" s="222">
        <v>7</v>
      </c>
      <c r="Y32" s="284">
        <v>12</v>
      </c>
      <c r="Z32" s="364">
        <v>1</v>
      </c>
      <c r="AA32" s="364">
        <v>2</v>
      </c>
      <c r="AB32" s="364">
        <f>IF('Berechnung Nährstoffe und Lager'!$X$5&lt;3,Z32,AA32)</f>
        <v>1</v>
      </c>
      <c r="AC32" s="364">
        <v>50</v>
      </c>
      <c r="AD32" s="181">
        <v>90</v>
      </c>
      <c r="AE32" s="181">
        <v>10</v>
      </c>
      <c r="AG32" s="1549">
        <v>0.85</v>
      </c>
      <c r="AH32" s="181">
        <v>350</v>
      </c>
      <c r="AI32" s="181">
        <v>55</v>
      </c>
      <c r="AJ32" s="1549">
        <v>0.8</v>
      </c>
      <c r="AK32" s="181">
        <v>450</v>
      </c>
      <c r="AL32" s="181">
        <v>55</v>
      </c>
      <c r="AM32" s="181">
        <v>40</v>
      </c>
      <c r="AN32" s="181">
        <v>100</v>
      </c>
    </row>
    <row r="33" spans="1:40" x14ac:dyDescent="0.2">
      <c r="A33" s="56"/>
      <c r="B33" s="51" t="s">
        <v>281</v>
      </c>
      <c r="C33" s="18">
        <f>IF(C$26&lt;=0.65,C11,IF(C$26&gt;=0.85,C19,((0.85-C$26)*5*C11)+((C$26-0.65)*5*C19)))</f>
        <v>0.3</v>
      </c>
      <c r="D33" s="18">
        <f>IF(D$26&lt;=0.65,D11,IF(D$26&gt;=0.85,D19,((0.85-D$26)*5*D11)+((D$26-0.65)*5*D19)))</f>
        <v>37</v>
      </c>
      <c r="E33" s="18">
        <f t="shared" ref="E33:U33" si="6">IF(E$26&lt;=0.65,E11,IF(E$26&gt;=0.85,E19,((0.85-E$26)*5*E11)+((E$26-0.65)*5*E19)))</f>
        <v>11</v>
      </c>
      <c r="F33" s="18">
        <f t="shared" si="6"/>
        <v>46</v>
      </c>
      <c r="G33" s="18">
        <f t="shared" si="6"/>
        <v>12.5</v>
      </c>
      <c r="H33" s="18">
        <f t="shared" si="6"/>
        <v>8.3000000000000007</v>
      </c>
      <c r="I33" s="18">
        <f t="shared" si="6"/>
        <v>6.2</v>
      </c>
      <c r="J33" s="18">
        <f t="shared" si="6"/>
        <v>7.6</v>
      </c>
      <c r="K33" s="384">
        <f>IF(K$26&lt;=0.65,K11,IF(K$26&gt;=0.85,K19,((0.85-K$26)*5*K11)+((K$26-0.65)*5*K19)))</f>
        <v>8.1999999999999993</v>
      </c>
      <c r="L33" s="18">
        <f t="shared" si="6"/>
        <v>2.5</v>
      </c>
      <c r="M33" s="18">
        <f t="shared" si="6"/>
        <v>4.5</v>
      </c>
      <c r="N33" s="18">
        <f t="shared" si="6"/>
        <v>7.4</v>
      </c>
      <c r="O33" s="18">
        <f t="shared" si="6"/>
        <v>8.9</v>
      </c>
      <c r="P33" s="384">
        <f>IF(P$26&lt;=0.65,P11,IF(P$26&gt;=0.85,P19,((0.85-P$26)*5*P11)+((P$26-0.65)*5*P19)))</f>
        <v>32.200000000000003</v>
      </c>
      <c r="Q33" s="18">
        <f t="shared" si="6"/>
        <v>2.8</v>
      </c>
      <c r="R33" s="18">
        <f t="shared" si="6"/>
        <v>2</v>
      </c>
      <c r="S33" s="384">
        <f>IF(S$26&lt;=0.65,S11,IF(S$26&gt;=0.85,S19,((0.85-S$26)*5*S11)+((S$26-0.65)*5*S19)))</f>
        <v>1.8</v>
      </c>
      <c r="T33" s="18">
        <f t="shared" si="6"/>
        <v>15</v>
      </c>
      <c r="U33" s="18">
        <f t="shared" si="6"/>
        <v>30</v>
      </c>
      <c r="V33" s="178">
        <v>0.9</v>
      </c>
      <c r="W33" s="468">
        <f t="shared" ref="W33:Y34" si="7">IF(W$26&lt;=0.65,W11,IF(W$26&gt;=0.85,W19,((0.85-W$26)*5*W11)+((W$26-0.65)*5*W19)))</f>
        <v>8.1999999999999993</v>
      </c>
      <c r="X33" s="468">
        <f t="shared" si="7"/>
        <v>7</v>
      </c>
      <c r="Y33" s="474">
        <f t="shared" si="7"/>
        <v>12</v>
      </c>
      <c r="Z33" s="364">
        <v>1</v>
      </c>
      <c r="AA33" s="364">
        <v>2</v>
      </c>
      <c r="AB33" s="364">
        <f>IF('Berechnung Nährstoffe und Lager'!$X$5&lt;3,Z33,AA33)</f>
        <v>1</v>
      </c>
      <c r="AC33" s="364">
        <v>50</v>
      </c>
      <c r="AD33" s="181">
        <v>90</v>
      </c>
      <c r="AE33" s="181">
        <v>10</v>
      </c>
      <c r="AG33" s="1549">
        <v>0.85</v>
      </c>
      <c r="AH33" s="181">
        <v>350</v>
      </c>
      <c r="AI33" s="181">
        <v>55</v>
      </c>
      <c r="AJ33" s="1549">
        <v>0.8</v>
      </c>
      <c r="AK33" s="181">
        <v>450</v>
      </c>
      <c r="AL33" s="181">
        <v>55</v>
      </c>
      <c r="AM33" s="181">
        <v>40</v>
      </c>
      <c r="AN33" s="181">
        <v>100</v>
      </c>
    </row>
    <row r="34" spans="1:40" x14ac:dyDescent="0.2">
      <c r="A34" s="56"/>
      <c r="B34" s="51" t="s">
        <v>9</v>
      </c>
      <c r="C34" s="18">
        <f t="shared" ref="C34:U34" si="8">IF(C$26&lt;=0.65,C12,IF(C$26&gt;=0.85,C20,((0.85-C$26)*5*C12)+((C$26-0.65)*5*C20)))</f>
        <v>0.7</v>
      </c>
      <c r="D34" s="18">
        <f t="shared" si="8"/>
        <v>56</v>
      </c>
      <c r="E34" s="18">
        <f t="shared" si="8"/>
        <v>18</v>
      </c>
      <c r="F34" s="18">
        <f t="shared" si="8"/>
        <v>69</v>
      </c>
      <c r="G34" s="18">
        <f t="shared" si="8"/>
        <v>18.899999999999999</v>
      </c>
      <c r="H34" s="18">
        <f t="shared" si="8"/>
        <v>12.6</v>
      </c>
      <c r="I34" s="18">
        <f t="shared" si="8"/>
        <v>9.4</v>
      </c>
      <c r="J34" s="18">
        <f t="shared" si="8"/>
        <v>11.5</v>
      </c>
      <c r="K34" s="384">
        <f>IF(K$26&lt;=0.65,K12,IF(K$26&gt;=0.85,K20,((0.85-K$26)*5*K12)+((K$26-0.65)*5*K20)))</f>
        <v>8.1999999999999993</v>
      </c>
      <c r="L34" s="18">
        <f t="shared" si="8"/>
        <v>3.7</v>
      </c>
      <c r="M34" s="18">
        <f t="shared" si="8"/>
        <v>6.8</v>
      </c>
      <c r="N34" s="18">
        <f t="shared" si="8"/>
        <v>11.8</v>
      </c>
      <c r="O34" s="18">
        <f t="shared" si="8"/>
        <v>14.6</v>
      </c>
      <c r="P34" s="384">
        <f>IF(P$26&lt;=0.65,P12,IF(P$26&gt;=0.85,P20,((0.85-P$26)*5*P12)+((P$26-0.65)*5*P20)))</f>
        <v>31.1</v>
      </c>
      <c r="Q34" s="18">
        <f t="shared" si="8"/>
        <v>4.3</v>
      </c>
      <c r="R34" s="18">
        <f t="shared" si="8"/>
        <v>3</v>
      </c>
      <c r="S34" s="384">
        <f>IF(S$26&lt;=0.65,S12,IF(S$26&gt;=0.85,S20,((0.85-S$26)*5*S12)+((S$26-0.65)*5*S20)))</f>
        <v>1.8</v>
      </c>
      <c r="T34" s="18">
        <f t="shared" si="8"/>
        <v>15</v>
      </c>
      <c r="U34" s="18">
        <f t="shared" si="8"/>
        <v>30</v>
      </c>
      <c r="V34" s="178">
        <v>0.9</v>
      </c>
      <c r="W34" s="468">
        <f t="shared" si="7"/>
        <v>5.3</v>
      </c>
      <c r="X34" s="468">
        <f t="shared" si="7"/>
        <v>7</v>
      </c>
      <c r="Y34" s="474">
        <f t="shared" si="7"/>
        <v>12</v>
      </c>
      <c r="Z34" s="364">
        <v>1</v>
      </c>
      <c r="AA34" s="364">
        <v>2</v>
      </c>
      <c r="AB34" s="364">
        <f>IF('Berechnung Nährstoffe und Lager'!$X$5&lt;3,Z34,AA34)</f>
        <v>1</v>
      </c>
      <c r="AC34" s="364">
        <v>50</v>
      </c>
      <c r="AD34" s="181">
        <v>90</v>
      </c>
      <c r="AE34" s="181">
        <v>10</v>
      </c>
      <c r="AG34" s="1549">
        <v>0.85</v>
      </c>
      <c r="AH34" s="181">
        <v>350</v>
      </c>
      <c r="AI34" s="181">
        <v>55</v>
      </c>
      <c r="AJ34" s="1549">
        <v>0.8</v>
      </c>
      <c r="AK34" s="181">
        <v>450</v>
      </c>
      <c r="AL34" s="181">
        <v>55</v>
      </c>
      <c r="AM34" s="181">
        <v>40</v>
      </c>
      <c r="AN34" s="181">
        <v>100</v>
      </c>
    </row>
    <row r="35" spans="1:40" x14ac:dyDescent="0.2">
      <c r="A35" s="56"/>
      <c r="B35" s="51" t="s">
        <v>10</v>
      </c>
      <c r="C35" s="18">
        <f t="shared" ref="C35:U35" si="9">IF(C$26&lt;=0.65,C13,IF(C$26&gt;=0.85,C21,((0.85-C$26)*5*C13)+((C$26-0.65)*5*C21)))</f>
        <v>1</v>
      </c>
      <c r="D35" s="18">
        <f t="shared" si="9"/>
        <v>64</v>
      </c>
      <c r="E35" s="18">
        <f t="shared" si="9"/>
        <v>21</v>
      </c>
      <c r="F35" s="18">
        <f t="shared" si="9"/>
        <v>78</v>
      </c>
      <c r="G35" s="18">
        <f t="shared" si="9"/>
        <v>21.5</v>
      </c>
      <c r="H35" s="18">
        <f t="shared" si="9"/>
        <v>14.3</v>
      </c>
      <c r="I35" s="18">
        <f t="shared" si="9"/>
        <v>10.7</v>
      </c>
      <c r="J35" s="18">
        <f t="shared" si="9"/>
        <v>13.1</v>
      </c>
      <c r="K35" s="384">
        <f>IF(K$26&lt;=0.65,K13,IF(K$26&gt;=0.85,K21,((0.85-K$26)*5*K13)+((K$26-0.65)*5*K21)))</f>
        <v>8.1999999999999993</v>
      </c>
      <c r="L35" s="18">
        <f t="shared" si="9"/>
        <v>4.2</v>
      </c>
      <c r="M35" s="18">
        <f t="shared" si="9"/>
        <v>7.8</v>
      </c>
      <c r="N35" s="18">
        <f t="shared" si="9"/>
        <v>14</v>
      </c>
      <c r="O35" s="18">
        <f t="shared" si="9"/>
        <v>17.5</v>
      </c>
      <c r="P35" s="384">
        <f>IF(P$26&lt;=0.65,P13,IF(P$26&gt;=0.85,P21,((0.85-P$26)*5*P13)+((P$26-0.65)*5*P21)))</f>
        <v>32.1</v>
      </c>
      <c r="Q35" s="18">
        <f t="shared" si="9"/>
        <v>4.8</v>
      </c>
      <c r="R35" s="18">
        <f>IF(R$26&lt;=0.65,R13,IF(R$26&gt;=0.85,R21,((0.85-R$26)*5*R13)+((R$26-0.65)*5*R21)))</f>
        <v>3.4</v>
      </c>
      <c r="S35" s="384">
        <f>IF(S$26&lt;=0.65,S13,IF(S$26&gt;=0.85,S21,((0.85-S$26)*5*S13)+((S$26-0.65)*5*S21)))</f>
        <v>1.8</v>
      </c>
      <c r="T35" s="18">
        <f t="shared" si="9"/>
        <v>15</v>
      </c>
      <c r="U35" s="18">
        <f t="shared" si="9"/>
        <v>30</v>
      </c>
      <c r="V35" s="178">
        <v>0.9</v>
      </c>
      <c r="W35" s="468">
        <f>IF(W$26&lt;=0.65,W13,IF(W$26&gt;=0.85,W21,((0.85-W$26)*5*W13)+((W$26-0.65)*5*W21)))</f>
        <v>4.2</v>
      </c>
      <c r="X35" s="468">
        <f>IF(X$26&lt;=0.65,X13,IF(X$26&gt;=0.85,X21,((0.85-X$26)*5*X13)+((X$26-0.65)*5*X21)))</f>
        <v>7</v>
      </c>
      <c r="Y35" s="474">
        <f>IF(Y$26&lt;=0.65,Y13,IF(Y$26&gt;=0.85,Y21,((0.85-Y$26)*5*Y13)+((Y$26-0.65)*5*Y21)))</f>
        <v>12</v>
      </c>
      <c r="Z35" s="364">
        <v>1</v>
      </c>
      <c r="AA35" s="364">
        <v>2</v>
      </c>
      <c r="AB35" s="364">
        <f>IF('Berechnung Nährstoffe und Lager'!$X$5&lt;3,Z35,AA35)</f>
        <v>1</v>
      </c>
      <c r="AC35" s="364">
        <v>50</v>
      </c>
      <c r="AD35" s="181">
        <v>90</v>
      </c>
      <c r="AE35" s="181">
        <v>10</v>
      </c>
      <c r="AG35" s="1549">
        <v>0.85</v>
      </c>
      <c r="AH35" s="181">
        <v>350</v>
      </c>
      <c r="AI35" s="181">
        <v>55</v>
      </c>
      <c r="AJ35" s="1549">
        <v>0.8</v>
      </c>
      <c r="AK35" s="181">
        <v>450</v>
      </c>
      <c r="AL35" s="181">
        <v>55</v>
      </c>
      <c r="AM35" s="181">
        <v>40</v>
      </c>
      <c r="AN35" s="181">
        <v>100</v>
      </c>
    </row>
    <row r="36" spans="1:40" x14ac:dyDescent="0.2">
      <c r="A36" s="57"/>
      <c r="B36" s="58" t="s">
        <v>51</v>
      </c>
      <c r="C36" s="227">
        <v>0.3</v>
      </c>
      <c r="D36" s="228">
        <v>37.5</v>
      </c>
      <c r="E36" s="229">
        <v>14.9</v>
      </c>
      <c r="F36" s="230">
        <v>31.3</v>
      </c>
      <c r="G36" s="224">
        <v>11.7</v>
      </c>
      <c r="H36" s="229">
        <v>7.8</v>
      </c>
      <c r="I36" s="230">
        <v>5.9</v>
      </c>
      <c r="J36" s="228">
        <v>7</v>
      </c>
      <c r="K36" s="382">
        <v>8.3000000000000007</v>
      </c>
      <c r="L36" s="372">
        <v>1</v>
      </c>
      <c r="M36" s="231">
        <v>2.9</v>
      </c>
      <c r="N36" s="232">
        <v>6.4</v>
      </c>
      <c r="O36" s="376">
        <v>8.3000000000000007</v>
      </c>
      <c r="P36" s="382">
        <v>31.3</v>
      </c>
      <c r="Q36" s="230">
        <v>2.2999999999999998</v>
      </c>
      <c r="R36" s="227">
        <v>2.7</v>
      </c>
      <c r="S36" s="382">
        <v>1.8</v>
      </c>
      <c r="T36" s="228">
        <v>15</v>
      </c>
      <c r="U36" s="233">
        <v>30</v>
      </c>
      <c r="V36" s="178">
        <v>0.9</v>
      </c>
      <c r="W36" s="336">
        <v>3.3</v>
      </c>
      <c r="X36" s="337">
        <v>7</v>
      </c>
      <c r="Y36" s="338">
        <v>12</v>
      </c>
      <c r="Z36" s="364">
        <v>1</v>
      </c>
      <c r="AA36" s="364">
        <v>2</v>
      </c>
      <c r="AB36" s="364">
        <f>IF('Berechnung Nährstoffe und Lager'!$X$5&lt;3,Z36,AA36)</f>
        <v>1</v>
      </c>
      <c r="AC36" s="364">
        <v>50</v>
      </c>
      <c r="AD36" s="181">
        <v>90</v>
      </c>
      <c r="AE36" s="181">
        <v>10</v>
      </c>
      <c r="AG36" s="1549">
        <v>0.85</v>
      </c>
      <c r="AH36" s="181">
        <v>350</v>
      </c>
      <c r="AI36" s="181">
        <v>55</v>
      </c>
      <c r="AJ36" s="1549">
        <v>0.8</v>
      </c>
      <c r="AK36" s="181">
        <v>450</v>
      </c>
      <c r="AL36" s="181">
        <v>55</v>
      </c>
      <c r="AM36" s="181">
        <v>40</v>
      </c>
      <c r="AN36" s="181">
        <v>100</v>
      </c>
    </row>
    <row r="37" spans="1:40" x14ac:dyDescent="0.2">
      <c r="A37" s="57"/>
      <c r="B37" s="58" t="s">
        <v>52</v>
      </c>
      <c r="C37" s="227">
        <v>0.7</v>
      </c>
      <c r="D37" s="225">
        <v>54.5</v>
      </c>
      <c r="E37" s="229">
        <v>20.5</v>
      </c>
      <c r="F37" s="230">
        <v>45.5</v>
      </c>
      <c r="G37" s="224">
        <v>17.100000000000001</v>
      </c>
      <c r="H37" s="229">
        <v>11.4</v>
      </c>
      <c r="I37" s="234">
        <v>8.6</v>
      </c>
      <c r="J37" s="228">
        <v>9.6999999999999993</v>
      </c>
      <c r="K37" s="382">
        <v>8.8000000000000007</v>
      </c>
      <c r="L37" s="372">
        <v>1.4</v>
      </c>
      <c r="M37" s="231">
        <v>4.2</v>
      </c>
      <c r="N37" s="232">
        <v>9.5</v>
      </c>
      <c r="O37" s="376">
        <v>12.7</v>
      </c>
      <c r="P37" s="382">
        <v>35</v>
      </c>
      <c r="Q37" s="230">
        <v>3.4</v>
      </c>
      <c r="R37" s="227">
        <v>3.9</v>
      </c>
      <c r="S37" s="382">
        <v>1.8</v>
      </c>
      <c r="T37" s="228">
        <v>15</v>
      </c>
      <c r="U37" s="233">
        <v>30</v>
      </c>
      <c r="V37" s="178">
        <v>0.9</v>
      </c>
      <c r="W37" s="336">
        <v>2.1</v>
      </c>
      <c r="X37" s="337">
        <v>7</v>
      </c>
      <c r="Y37" s="338">
        <v>12</v>
      </c>
      <c r="Z37" s="364">
        <v>1</v>
      </c>
      <c r="AA37" s="364">
        <v>2</v>
      </c>
      <c r="AB37" s="364">
        <f>IF('Berechnung Nährstoffe und Lager'!$X$5&lt;3,Z37,AA37)</f>
        <v>1</v>
      </c>
      <c r="AC37" s="364">
        <v>50</v>
      </c>
      <c r="AD37" s="181">
        <v>90</v>
      </c>
      <c r="AE37" s="181">
        <v>10</v>
      </c>
      <c r="AG37" s="1549">
        <v>0.85</v>
      </c>
      <c r="AH37" s="181">
        <v>350</v>
      </c>
      <c r="AI37" s="181">
        <v>55</v>
      </c>
      <c r="AJ37" s="1549">
        <v>0.8</v>
      </c>
      <c r="AK37" s="181">
        <v>450</v>
      </c>
      <c r="AL37" s="181">
        <v>55</v>
      </c>
      <c r="AM37" s="181">
        <v>40</v>
      </c>
      <c r="AN37" s="181">
        <v>100</v>
      </c>
    </row>
    <row r="38" spans="1:40" x14ac:dyDescent="0.2">
      <c r="A38" s="56"/>
      <c r="B38" s="51" t="s">
        <v>8</v>
      </c>
      <c r="C38" s="218">
        <v>1</v>
      </c>
      <c r="D38" s="235">
        <v>64</v>
      </c>
      <c r="E38" s="220">
        <v>21</v>
      </c>
      <c r="F38" s="221">
        <v>78</v>
      </c>
      <c r="G38" s="191">
        <v>21.5</v>
      </c>
      <c r="H38" s="220">
        <v>14.3</v>
      </c>
      <c r="I38" s="221">
        <v>10.7</v>
      </c>
      <c r="J38" s="118">
        <v>13.1</v>
      </c>
      <c r="K38" s="382">
        <v>8.1999999999999993</v>
      </c>
      <c r="L38" s="226">
        <v>4.2</v>
      </c>
      <c r="M38" s="222">
        <v>7.8</v>
      </c>
      <c r="N38" s="223">
        <v>14</v>
      </c>
      <c r="O38" s="332">
        <v>17.5</v>
      </c>
      <c r="P38" s="382">
        <v>32.1</v>
      </c>
      <c r="Q38" s="221">
        <v>4.8</v>
      </c>
      <c r="R38" s="218">
        <v>3.4</v>
      </c>
      <c r="S38" s="382">
        <v>1.8</v>
      </c>
      <c r="T38" s="219">
        <v>15</v>
      </c>
      <c r="U38" s="52">
        <v>30</v>
      </c>
      <c r="V38" s="178">
        <v>0.9</v>
      </c>
      <c r="W38" s="336">
        <v>4.2</v>
      </c>
      <c r="X38" s="337">
        <v>7</v>
      </c>
      <c r="Y38" s="338">
        <v>12</v>
      </c>
      <c r="Z38" s="364">
        <v>1</v>
      </c>
      <c r="AA38" s="364">
        <v>2</v>
      </c>
      <c r="AB38" s="364">
        <f>IF('Berechnung Nährstoffe und Lager'!$X$5&lt;3,Z38,AA38)</f>
        <v>1</v>
      </c>
      <c r="AC38" s="364">
        <v>50</v>
      </c>
      <c r="AD38" s="181">
        <v>90</v>
      </c>
      <c r="AE38" s="181">
        <v>10</v>
      </c>
      <c r="AG38" s="1549">
        <v>0.85</v>
      </c>
      <c r="AH38" s="181">
        <v>350</v>
      </c>
      <c r="AI38" s="181">
        <v>55</v>
      </c>
      <c r="AJ38" s="1549">
        <v>0.8</v>
      </c>
      <c r="AK38" s="181">
        <v>450</v>
      </c>
      <c r="AL38" s="181">
        <v>55</v>
      </c>
      <c r="AM38" s="181">
        <v>40</v>
      </c>
      <c r="AN38" s="181">
        <v>100</v>
      </c>
    </row>
    <row r="39" spans="1:40" x14ac:dyDescent="0.2">
      <c r="A39" s="56"/>
      <c r="B39" s="51" t="s">
        <v>53</v>
      </c>
      <c r="C39" s="218">
        <v>1</v>
      </c>
      <c r="D39" s="235">
        <v>105</v>
      </c>
      <c r="E39" s="220">
        <v>31</v>
      </c>
      <c r="F39" s="221">
        <v>129</v>
      </c>
      <c r="G39" s="242">
        <v>32.200000000000003</v>
      </c>
      <c r="H39" s="220">
        <v>21.4</v>
      </c>
      <c r="I39" s="221">
        <v>16.100000000000001</v>
      </c>
      <c r="J39" s="219">
        <v>20</v>
      </c>
      <c r="K39" s="382">
        <v>8</v>
      </c>
      <c r="L39" s="226">
        <v>4</v>
      </c>
      <c r="M39" s="222">
        <v>15.8</v>
      </c>
      <c r="N39" s="223">
        <v>19.600000000000001</v>
      </c>
      <c r="O39" s="332">
        <v>24.4</v>
      </c>
      <c r="P39" s="382">
        <v>18.899999999999999</v>
      </c>
      <c r="Q39" s="221">
        <v>7.6</v>
      </c>
      <c r="R39" s="218">
        <v>6</v>
      </c>
      <c r="S39" s="382">
        <v>1.8</v>
      </c>
      <c r="T39" s="219">
        <v>15</v>
      </c>
      <c r="U39" s="52">
        <v>30</v>
      </c>
      <c r="V39" s="178">
        <v>0.9</v>
      </c>
      <c r="W39" s="336">
        <v>4</v>
      </c>
      <c r="X39" s="337">
        <v>7</v>
      </c>
      <c r="Y39" s="338">
        <v>12</v>
      </c>
      <c r="Z39" s="364">
        <v>1</v>
      </c>
      <c r="AA39" s="364">
        <v>2</v>
      </c>
      <c r="AB39" s="364">
        <f>IF('Berechnung Nährstoffe und Lager'!$X$5&lt;3,Z39,AA39)</f>
        <v>1</v>
      </c>
      <c r="AC39" s="364">
        <v>50</v>
      </c>
      <c r="AD39" s="181">
        <v>90</v>
      </c>
      <c r="AE39" s="181">
        <v>10</v>
      </c>
      <c r="AG39" s="1549">
        <v>0.85</v>
      </c>
      <c r="AH39" s="181">
        <v>350</v>
      </c>
      <c r="AI39" s="181">
        <v>55</v>
      </c>
      <c r="AJ39" s="1549">
        <v>0.8</v>
      </c>
      <c r="AK39" s="181">
        <v>450</v>
      </c>
      <c r="AL39" s="181">
        <v>55</v>
      </c>
      <c r="AM39" s="181">
        <v>40</v>
      </c>
      <c r="AN39" s="181">
        <v>100</v>
      </c>
    </row>
    <row r="40" spans="1:40" x14ac:dyDescent="0.2">
      <c r="A40" s="47"/>
      <c r="B40" s="51" t="s">
        <v>54</v>
      </c>
      <c r="C40" s="218">
        <v>0.3</v>
      </c>
      <c r="D40" s="258">
        <v>27.3</v>
      </c>
      <c r="E40" s="220">
        <v>12.6</v>
      </c>
      <c r="F40" s="259">
        <v>12.8</v>
      </c>
      <c r="G40" s="191">
        <v>8.1</v>
      </c>
      <c r="H40" s="220">
        <v>5.7</v>
      </c>
      <c r="I40" s="221">
        <v>3.8</v>
      </c>
      <c r="J40" s="219">
        <v>4.2</v>
      </c>
      <c r="K40" s="382">
        <v>5.5</v>
      </c>
      <c r="L40" s="226">
        <v>2</v>
      </c>
      <c r="M40" s="222">
        <v>3.6</v>
      </c>
      <c r="N40" s="223">
        <v>4.3</v>
      </c>
      <c r="O40" s="332">
        <v>5.5</v>
      </c>
      <c r="P40" s="382">
        <v>25.4</v>
      </c>
      <c r="Q40" s="221">
        <v>1.2</v>
      </c>
      <c r="R40" s="218">
        <v>1.3</v>
      </c>
      <c r="S40" s="382">
        <v>1.8</v>
      </c>
      <c r="T40" s="219">
        <v>20</v>
      </c>
      <c r="U40" s="52">
        <v>30</v>
      </c>
      <c r="V40" s="178">
        <v>0.9</v>
      </c>
      <c r="W40" s="336">
        <v>6.7</v>
      </c>
      <c r="X40" s="337">
        <v>7</v>
      </c>
      <c r="Y40" s="338">
        <v>12</v>
      </c>
      <c r="Z40" s="364">
        <v>1</v>
      </c>
      <c r="AA40" s="364">
        <v>2</v>
      </c>
      <c r="AB40" s="364">
        <f>IF('Berechnung Nährstoffe und Lager'!$X$5&lt;3,Z40,AA40)</f>
        <v>1</v>
      </c>
      <c r="AC40" s="364">
        <v>60</v>
      </c>
      <c r="AD40" s="181">
        <v>90</v>
      </c>
      <c r="AE40" s="181">
        <v>10</v>
      </c>
      <c r="AG40" s="1549">
        <v>0.85</v>
      </c>
      <c r="AH40" s="181">
        <v>400</v>
      </c>
      <c r="AI40" s="181">
        <v>60</v>
      </c>
      <c r="AJ40" s="1549">
        <v>0.82</v>
      </c>
      <c r="AK40" s="181">
        <v>400</v>
      </c>
      <c r="AL40" s="181">
        <v>60</v>
      </c>
      <c r="AM40" s="181">
        <v>40</v>
      </c>
      <c r="AN40" s="181">
        <v>100</v>
      </c>
    </row>
    <row r="41" spans="1:40" x14ac:dyDescent="0.2">
      <c r="A41" s="47"/>
      <c r="B41" s="51" t="s">
        <v>55</v>
      </c>
      <c r="C41" s="218">
        <v>0.3</v>
      </c>
      <c r="D41" s="258">
        <v>24.1</v>
      </c>
      <c r="E41" s="220">
        <v>11.2</v>
      </c>
      <c r="F41" s="259">
        <v>11.6</v>
      </c>
      <c r="G41" s="191">
        <v>7.2</v>
      </c>
      <c r="H41" s="220">
        <v>5</v>
      </c>
      <c r="I41" s="221">
        <v>3.4</v>
      </c>
      <c r="J41" s="219">
        <v>4.2</v>
      </c>
      <c r="K41" s="382">
        <v>5.5</v>
      </c>
      <c r="L41" s="226">
        <v>2</v>
      </c>
      <c r="M41" s="222">
        <v>3.6</v>
      </c>
      <c r="N41" s="223">
        <v>4.3</v>
      </c>
      <c r="O41" s="332">
        <v>5.5</v>
      </c>
      <c r="P41" s="382">
        <v>24.4</v>
      </c>
      <c r="Q41" s="221">
        <v>1.2</v>
      </c>
      <c r="R41" s="218">
        <v>1.3</v>
      </c>
      <c r="S41" s="382">
        <v>1.8</v>
      </c>
      <c r="T41" s="219">
        <v>20</v>
      </c>
      <c r="U41" s="52">
        <v>30</v>
      </c>
      <c r="V41" s="178">
        <v>0.9</v>
      </c>
      <c r="W41" s="336">
        <v>6.7</v>
      </c>
      <c r="X41" s="337">
        <v>7</v>
      </c>
      <c r="Y41" s="338">
        <v>12</v>
      </c>
      <c r="Z41" s="364">
        <v>1</v>
      </c>
      <c r="AA41" s="364">
        <v>2</v>
      </c>
      <c r="AB41" s="364">
        <f>IF('Berechnung Nährstoffe und Lager'!$X$5&lt;3,Z41,AA41)</f>
        <v>1</v>
      </c>
      <c r="AC41" s="364">
        <v>60</v>
      </c>
      <c r="AD41" s="181">
        <v>90</v>
      </c>
      <c r="AE41" s="181">
        <v>10</v>
      </c>
      <c r="AG41" s="1549">
        <v>0.85</v>
      </c>
      <c r="AH41" s="181">
        <v>400</v>
      </c>
      <c r="AI41" s="181">
        <v>60</v>
      </c>
      <c r="AJ41" s="1549">
        <v>0.82</v>
      </c>
      <c r="AK41" s="181">
        <v>400</v>
      </c>
      <c r="AL41" s="181">
        <v>60</v>
      </c>
      <c r="AM41" s="181">
        <v>40</v>
      </c>
      <c r="AN41" s="181">
        <v>100</v>
      </c>
    </row>
    <row r="42" spans="1:40" x14ac:dyDescent="0.2">
      <c r="A42" s="47"/>
      <c r="B42" s="59" t="s">
        <v>56</v>
      </c>
      <c r="C42" s="218">
        <v>0.3</v>
      </c>
      <c r="D42" s="235">
        <v>27.5</v>
      </c>
      <c r="E42" s="220">
        <v>12.8</v>
      </c>
      <c r="F42" s="259">
        <v>13.1</v>
      </c>
      <c r="G42" s="191">
        <v>8.1999999999999993</v>
      </c>
      <c r="H42" s="220">
        <v>5.8</v>
      </c>
      <c r="I42" s="221">
        <v>3.8</v>
      </c>
      <c r="J42" s="219">
        <v>4.4000000000000004</v>
      </c>
      <c r="K42" s="382">
        <v>5.5</v>
      </c>
      <c r="L42" s="226">
        <v>2</v>
      </c>
      <c r="M42" s="222">
        <v>3.7</v>
      </c>
      <c r="N42" s="223">
        <v>4.5</v>
      </c>
      <c r="O42" s="332">
        <v>5.7</v>
      </c>
      <c r="P42" s="382">
        <v>25.5</v>
      </c>
      <c r="Q42" s="221">
        <v>1.2</v>
      </c>
      <c r="R42" s="218">
        <v>1.4</v>
      </c>
      <c r="S42" s="382">
        <v>1.8</v>
      </c>
      <c r="T42" s="219">
        <v>20</v>
      </c>
      <c r="U42" s="52">
        <v>30</v>
      </c>
      <c r="V42" s="178">
        <v>0.9</v>
      </c>
      <c r="W42" s="336">
        <v>6.7</v>
      </c>
      <c r="X42" s="337">
        <v>7</v>
      </c>
      <c r="Y42" s="338">
        <v>12</v>
      </c>
      <c r="Z42" s="364">
        <v>1</v>
      </c>
      <c r="AA42" s="364">
        <v>2</v>
      </c>
      <c r="AB42" s="364">
        <f>IF('Berechnung Nährstoffe und Lager'!$X$5&lt;3,Z42,AA42)</f>
        <v>1</v>
      </c>
      <c r="AC42" s="364">
        <v>60</v>
      </c>
      <c r="AD42" s="181">
        <v>90</v>
      </c>
      <c r="AE42" s="181">
        <v>10</v>
      </c>
      <c r="AG42" s="1549">
        <v>0.85</v>
      </c>
      <c r="AH42" s="181">
        <v>400</v>
      </c>
      <c r="AI42" s="181">
        <v>60</v>
      </c>
      <c r="AJ42" s="1549">
        <v>0.82</v>
      </c>
      <c r="AK42" s="181">
        <v>400</v>
      </c>
      <c r="AL42" s="181">
        <v>60</v>
      </c>
      <c r="AM42" s="181">
        <v>40</v>
      </c>
      <c r="AN42" s="181">
        <v>100</v>
      </c>
    </row>
    <row r="43" spans="1:40" x14ac:dyDescent="0.2">
      <c r="A43" s="47"/>
      <c r="B43" s="59" t="s">
        <v>57</v>
      </c>
      <c r="C43" s="218">
        <v>0.3</v>
      </c>
      <c r="D43" s="235">
        <v>24.2</v>
      </c>
      <c r="E43" s="220">
        <v>11.2</v>
      </c>
      <c r="F43" s="259">
        <v>11.8</v>
      </c>
      <c r="G43" s="191">
        <v>7.4</v>
      </c>
      <c r="H43" s="220">
        <v>5.2</v>
      </c>
      <c r="I43" s="221">
        <v>3.4</v>
      </c>
      <c r="J43" s="219">
        <v>4.4000000000000004</v>
      </c>
      <c r="K43" s="382">
        <v>5.5</v>
      </c>
      <c r="L43" s="226">
        <v>2</v>
      </c>
      <c r="M43" s="222">
        <v>3.7</v>
      </c>
      <c r="N43" s="223">
        <v>4.5</v>
      </c>
      <c r="O43" s="332">
        <v>5.7</v>
      </c>
      <c r="P43" s="382">
        <v>24.6</v>
      </c>
      <c r="Q43" s="221">
        <v>1.2</v>
      </c>
      <c r="R43" s="218">
        <v>1.4</v>
      </c>
      <c r="S43" s="382">
        <v>1.8</v>
      </c>
      <c r="T43" s="219">
        <v>20</v>
      </c>
      <c r="U43" s="52">
        <v>30</v>
      </c>
      <c r="V43" s="178">
        <v>0.9</v>
      </c>
      <c r="W43" s="336">
        <v>6.7</v>
      </c>
      <c r="X43" s="337">
        <v>7</v>
      </c>
      <c r="Y43" s="338">
        <v>12</v>
      </c>
      <c r="Z43" s="364">
        <v>1</v>
      </c>
      <c r="AA43" s="364">
        <v>2</v>
      </c>
      <c r="AB43" s="364">
        <f>IF('Berechnung Nährstoffe und Lager'!$X$5&lt;3,Z43,AA43)</f>
        <v>1</v>
      </c>
      <c r="AC43" s="364">
        <v>60</v>
      </c>
      <c r="AD43" s="181">
        <v>90</v>
      </c>
      <c r="AE43" s="181">
        <v>10</v>
      </c>
      <c r="AG43" s="1549">
        <v>0.85</v>
      </c>
      <c r="AH43" s="181">
        <v>400</v>
      </c>
      <c r="AI43" s="181">
        <v>60</v>
      </c>
      <c r="AJ43" s="1549">
        <v>0.82</v>
      </c>
      <c r="AK43" s="181">
        <v>400</v>
      </c>
      <c r="AL43" s="181">
        <v>60</v>
      </c>
      <c r="AM43" s="181">
        <v>40</v>
      </c>
      <c r="AN43" s="181">
        <v>100</v>
      </c>
    </row>
    <row r="44" spans="1:40" x14ac:dyDescent="0.2">
      <c r="A44" s="47"/>
      <c r="B44" s="51" t="s">
        <v>58</v>
      </c>
      <c r="C44" s="218">
        <v>0.3</v>
      </c>
      <c r="D44" s="258">
        <v>41.1</v>
      </c>
      <c r="E44" s="220">
        <v>17.899999999999999</v>
      </c>
      <c r="F44" s="259">
        <v>21.1</v>
      </c>
      <c r="G44" s="191">
        <v>11.9</v>
      </c>
      <c r="H44" s="220">
        <v>8.3000000000000007</v>
      </c>
      <c r="I44" s="221">
        <v>5.5</v>
      </c>
      <c r="J44" s="219">
        <v>6.5</v>
      </c>
      <c r="K44" s="382">
        <v>5.5</v>
      </c>
      <c r="L44" s="226">
        <v>3</v>
      </c>
      <c r="M44" s="222">
        <v>5.2</v>
      </c>
      <c r="N44" s="223">
        <v>6.1</v>
      </c>
      <c r="O44" s="332">
        <v>7.8</v>
      </c>
      <c r="P44" s="382">
        <v>26</v>
      </c>
      <c r="Q44" s="221">
        <v>1.2</v>
      </c>
      <c r="R44" s="218">
        <v>2.4</v>
      </c>
      <c r="S44" s="382">
        <v>1.8</v>
      </c>
      <c r="T44" s="219">
        <v>20</v>
      </c>
      <c r="U44" s="52">
        <v>30</v>
      </c>
      <c r="V44" s="178">
        <v>0.9</v>
      </c>
      <c r="W44" s="336">
        <v>10</v>
      </c>
      <c r="X44" s="337">
        <v>7</v>
      </c>
      <c r="Y44" s="338">
        <v>12</v>
      </c>
      <c r="Z44" s="364">
        <v>1</v>
      </c>
      <c r="AA44" s="364">
        <v>2</v>
      </c>
      <c r="AB44" s="364">
        <f>IF('Berechnung Nährstoffe und Lager'!$X$5&lt;3,Z44,AA44)</f>
        <v>1</v>
      </c>
      <c r="AC44" s="364">
        <v>60</v>
      </c>
      <c r="AD44" s="181">
        <v>90</v>
      </c>
      <c r="AE44" s="181">
        <v>10</v>
      </c>
      <c r="AG44" s="1549">
        <v>0.85</v>
      </c>
      <c r="AH44" s="181">
        <v>400</v>
      </c>
      <c r="AI44" s="181">
        <v>60</v>
      </c>
      <c r="AJ44" s="1549">
        <v>0.82</v>
      </c>
      <c r="AK44" s="181">
        <v>400</v>
      </c>
      <c r="AL44" s="181">
        <v>60</v>
      </c>
      <c r="AM44" s="181">
        <v>40</v>
      </c>
      <c r="AN44" s="181">
        <v>100</v>
      </c>
    </row>
    <row r="45" spans="1:40" x14ac:dyDescent="0.2">
      <c r="A45" s="47"/>
      <c r="B45" s="51" t="s">
        <v>59</v>
      </c>
      <c r="C45" s="218">
        <v>0.3</v>
      </c>
      <c r="D45" s="258">
        <v>36.799999999999997</v>
      </c>
      <c r="E45" s="220">
        <v>16</v>
      </c>
      <c r="F45" s="259">
        <v>19.5</v>
      </c>
      <c r="G45" s="191">
        <v>10.9</v>
      </c>
      <c r="H45" s="220">
        <v>7.6</v>
      </c>
      <c r="I45" s="221">
        <v>5.0999999999999996</v>
      </c>
      <c r="J45" s="219">
        <v>6.5</v>
      </c>
      <c r="K45" s="382">
        <v>5.5</v>
      </c>
      <c r="L45" s="226">
        <v>3</v>
      </c>
      <c r="M45" s="222">
        <v>5.2</v>
      </c>
      <c r="N45" s="223">
        <v>6.1</v>
      </c>
      <c r="O45" s="332">
        <v>7.8</v>
      </c>
      <c r="P45" s="382">
        <v>25.2</v>
      </c>
      <c r="Q45" s="221">
        <v>1.2</v>
      </c>
      <c r="R45" s="218">
        <v>2.4</v>
      </c>
      <c r="S45" s="382">
        <v>1.8</v>
      </c>
      <c r="T45" s="219">
        <v>20</v>
      </c>
      <c r="U45" s="52">
        <v>30</v>
      </c>
      <c r="V45" s="178">
        <v>0.9</v>
      </c>
      <c r="W45" s="336">
        <v>10</v>
      </c>
      <c r="X45" s="337">
        <v>7</v>
      </c>
      <c r="Y45" s="338">
        <v>12</v>
      </c>
      <c r="Z45" s="364">
        <v>1</v>
      </c>
      <c r="AA45" s="364">
        <v>2</v>
      </c>
      <c r="AB45" s="364">
        <f>IF('Berechnung Nährstoffe und Lager'!$X$5&lt;3,Z45,AA45)</f>
        <v>1</v>
      </c>
      <c r="AC45" s="364">
        <v>60</v>
      </c>
      <c r="AD45" s="181">
        <v>90</v>
      </c>
      <c r="AE45" s="181">
        <v>10</v>
      </c>
      <c r="AG45" s="1549">
        <v>0.85</v>
      </c>
      <c r="AH45" s="181">
        <v>400</v>
      </c>
      <c r="AI45" s="181">
        <v>60</v>
      </c>
      <c r="AJ45" s="1549">
        <v>0.82</v>
      </c>
      <c r="AK45" s="181">
        <v>400</v>
      </c>
      <c r="AL45" s="181">
        <v>60</v>
      </c>
      <c r="AM45" s="181">
        <v>40</v>
      </c>
      <c r="AN45" s="181">
        <v>100</v>
      </c>
    </row>
    <row r="46" spans="1:40" x14ac:dyDescent="0.2">
      <c r="A46" s="47"/>
      <c r="B46" s="59" t="s">
        <v>60</v>
      </c>
      <c r="C46" s="218">
        <v>0.3</v>
      </c>
      <c r="D46" s="235">
        <v>42.9</v>
      </c>
      <c r="E46" s="220">
        <v>18.600000000000001</v>
      </c>
      <c r="F46" s="259">
        <v>21.3</v>
      </c>
      <c r="G46" s="191">
        <v>12.5</v>
      </c>
      <c r="H46" s="220">
        <v>8.6999999999999993</v>
      </c>
      <c r="I46" s="221">
        <v>5.8</v>
      </c>
      <c r="J46" s="219">
        <v>7</v>
      </c>
      <c r="K46" s="382">
        <v>5.5</v>
      </c>
      <c r="L46" s="226">
        <v>3</v>
      </c>
      <c r="M46" s="222">
        <v>5.5</v>
      </c>
      <c r="N46" s="223">
        <v>6.5</v>
      </c>
      <c r="O46" s="332">
        <v>8.3000000000000007</v>
      </c>
      <c r="P46" s="382">
        <v>25.9</v>
      </c>
      <c r="Q46" s="221">
        <v>1.2</v>
      </c>
      <c r="R46" s="218">
        <v>2.6</v>
      </c>
      <c r="S46" s="382">
        <v>1.8</v>
      </c>
      <c r="T46" s="219">
        <v>20</v>
      </c>
      <c r="U46" s="52">
        <v>30</v>
      </c>
      <c r="V46" s="178">
        <v>0.9</v>
      </c>
      <c r="W46" s="336">
        <v>10</v>
      </c>
      <c r="X46" s="337">
        <v>7</v>
      </c>
      <c r="Y46" s="338">
        <v>12</v>
      </c>
      <c r="Z46" s="364">
        <v>1</v>
      </c>
      <c r="AA46" s="364">
        <v>2</v>
      </c>
      <c r="AB46" s="364">
        <f>IF('Berechnung Nährstoffe und Lager'!$X$5&lt;3,Z46,AA46)</f>
        <v>1</v>
      </c>
      <c r="AC46" s="364">
        <v>60</v>
      </c>
      <c r="AD46" s="181">
        <v>90</v>
      </c>
      <c r="AE46" s="181">
        <v>10</v>
      </c>
      <c r="AG46" s="1549">
        <v>0.85</v>
      </c>
      <c r="AH46" s="181">
        <v>400</v>
      </c>
      <c r="AI46" s="181">
        <v>60</v>
      </c>
      <c r="AJ46" s="1549">
        <v>0.82</v>
      </c>
      <c r="AK46" s="181">
        <v>400</v>
      </c>
      <c r="AL46" s="181">
        <v>60</v>
      </c>
      <c r="AM46" s="181">
        <v>40</v>
      </c>
      <c r="AN46" s="181">
        <v>100</v>
      </c>
    </row>
    <row r="47" spans="1:40" x14ac:dyDescent="0.2">
      <c r="A47" s="47"/>
      <c r="B47" s="59" t="s">
        <v>61</v>
      </c>
      <c r="C47" s="218">
        <v>0.3</v>
      </c>
      <c r="D47" s="235">
        <v>38.4</v>
      </c>
      <c r="E47" s="220">
        <v>16.7</v>
      </c>
      <c r="F47" s="259">
        <v>20.7</v>
      </c>
      <c r="G47" s="191">
        <v>11.5</v>
      </c>
      <c r="H47" s="220">
        <v>8</v>
      </c>
      <c r="I47" s="221">
        <v>5.3</v>
      </c>
      <c r="J47" s="219">
        <v>7</v>
      </c>
      <c r="K47" s="382">
        <v>5.5</v>
      </c>
      <c r="L47" s="226">
        <v>3</v>
      </c>
      <c r="M47" s="222">
        <v>5.5</v>
      </c>
      <c r="N47" s="223">
        <v>6.5</v>
      </c>
      <c r="O47" s="332">
        <v>8.3000000000000007</v>
      </c>
      <c r="P47" s="382">
        <v>25.1</v>
      </c>
      <c r="Q47" s="221">
        <v>1.2</v>
      </c>
      <c r="R47" s="218">
        <v>2.6</v>
      </c>
      <c r="S47" s="382">
        <v>1.8</v>
      </c>
      <c r="T47" s="219">
        <v>20</v>
      </c>
      <c r="U47" s="52">
        <v>30</v>
      </c>
      <c r="V47" s="178">
        <v>0.9</v>
      </c>
      <c r="W47" s="336">
        <v>10</v>
      </c>
      <c r="X47" s="337">
        <v>7</v>
      </c>
      <c r="Y47" s="338">
        <v>12</v>
      </c>
      <c r="Z47" s="364">
        <v>1</v>
      </c>
      <c r="AA47" s="364">
        <v>2</v>
      </c>
      <c r="AB47" s="364">
        <f>IF('Berechnung Nährstoffe und Lager'!$X$5&lt;3,Z47,AA47)</f>
        <v>1</v>
      </c>
      <c r="AC47" s="364">
        <v>60</v>
      </c>
      <c r="AD47" s="181">
        <v>90</v>
      </c>
      <c r="AE47" s="181">
        <v>10</v>
      </c>
      <c r="AG47" s="1549">
        <v>0.85</v>
      </c>
      <c r="AH47" s="181">
        <v>400</v>
      </c>
      <c r="AI47" s="181">
        <v>60</v>
      </c>
      <c r="AJ47" s="1549">
        <v>0.82</v>
      </c>
      <c r="AK47" s="181">
        <v>400</v>
      </c>
      <c r="AL47" s="181">
        <v>60</v>
      </c>
      <c r="AM47" s="181">
        <v>40</v>
      </c>
      <c r="AN47" s="181">
        <v>100</v>
      </c>
    </row>
    <row r="48" spans="1:40" x14ac:dyDescent="0.2">
      <c r="A48" s="56"/>
      <c r="B48" s="59" t="s">
        <v>62</v>
      </c>
      <c r="C48" s="260">
        <v>0.02</v>
      </c>
      <c r="D48" s="235">
        <v>4.5</v>
      </c>
      <c r="E48" s="261">
        <v>1.64</v>
      </c>
      <c r="F48" s="262">
        <v>2.7</v>
      </c>
      <c r="G48" s="191">
        <v>1.3</v>
      </c>
      <c r="H48" s="220">
        <v>0.9</v>
      </c>
      <c r="I48" s="221">
        <v>0.6</v>
      </c>
      <c r="J48" s="219">
        <v>0.7</v>
      </c>
      <c r="K48" s="382">
        <v>5.5</v>
      </c>
      <c r="L48" s="226">
        <v>0.2</v>
      </c>
      <c r="M48" s="222">
        <v>0.4</v>
      </c>
      <c r="N48" s="223">
        <v>0.6</v>
      </c>
      <c r="O48" s="332">
        <v>0.8</v>
      </c>
      <c r="P48" s="382">
        <v>25.6</v>
      </c>
      <c r="Q48" s="381">
        <v>0.15</v>
      </c>
      <c r="R48" s="218">
        <v>0.4</v>
      </c>
      <c r="S48" s="382">
        <v>1.8</v>
      </c>
      <c r="T48" s="219">
        <v>20</v>
      </c>
      <c r="U48" s="52">
        <v>30</v>
      </c>
      <c r="V48" s="178">
        <v>0.9</v>
      </c>
      <c r="W48" s="336">
        <v>10</v>
      </c>
      <c r="X48" s="337">
        <v>7</v>
      </c>
      <c r="Y48" s="338">
        <v>12</v>
      </c>
      <c r="Z48" s="364">
        <v>1</v>
      </c>
      <c r="AA48" s="364">
        <v>2</v>
      </c>
      <c r="AB48" s="364">
        <f>IF('Berechnung Nährstoffe und Lager'!$X$5&lt;3,Z48,AA48)</f>
        <v>1</v>
      </c>
      <c r="AC48" s="364">
        <v>60</v>
      </c>
      <c r="AD48" s="181">
        <v>90</v>
      </c>
      <c r="AE48" s="181">
        <v>10</v>
      </c>
      <c r="AG48" s="1549">
        <v>0.85</v>
      </c>
      <c r="AH48" s="181">
        <v>400</v>
      </c>
      <c r="AI48" s="181">
        <v>60</v>
      </c>
      <c r="AJ48" s="1549">
        <v>0.82</v>
      </c>
      <c r="AK48" s="181">
        <v>400</v>
      </c>
      <c r="AL48" s="181">
        <v>60</v>
      </c>
      <c r="AM48" s="181">
        <v>40</v>
      </c>
      <c r="AN48" s="181">
        <v>100</v>
      </c>
    </row>
    <row r="49" spans="1:40" x14ac:dyDescent="0.2">
      <c r="A49" s="56"/>
      <c r="B49" s="59" t="s">
        <v>63</v>
      </c>
      <c r="C49" s="260">
        <v>0.02</v>
      </c>
      <c r="D49" s="235">
        <v>4.2</v>
      </c>
      <c r="E49" s="261">
        <v>1.61</v>
      </c>
      <c r="F49" s="262">
        <v>2.6</v>
      </c>
      <c r="G49" s="191">
        <v>1.2</v>
      </c>
      <c r="H49" s="220">
        <v>0.8</v>
      </c>
      <c r="I49" s="221">
        <v>0.6</v>
      </c>
      <c r="J49" s="219">
        <v>0.7</v>
      </c>
      <c r="K49" s="382">
        <v>5.5</v>
      </c>
      <c r="L49" s="226">
        <v>0.2</v>
      </c>
      <c r="M49" s="222">
        <v>0.4</v>
      </c>
      <c r="N49" s="223">
        <v>0.6</v>
      </c>
      <c r="O49" s="332">
        <v>0.8</v>
      </c>
      <c r="P49" s="382">
        <v>25.1</v>
      </c>
      <c r="Q49" s="381">
        <v>0.15</v>
      </c>
      <c r="R49" s="218">
        <v>0.4</v>
      </c>
      <c r="S49" s="382">
        <v>1.8</v>
      </c>
      <c r="T49" s="219">
        <v>20</v>
      </c>
      <c r="U49" s="52">
        <v>30</v>
      </c>
      <c r="V49" s="178">
        <v>0.9</v>
      </c>
      <c r="W49" s="336">
        <v>10</v>
      </c>
      <c r="X49" s="337">
        <v>7</v>
      </c>
      <c r="Y49" s="338">
        <v>12</v>
      </c>
      <c r="Z49" s="364">
        <v>1</v>
      </c>
      <c r="AA49" s="364">
        <v>2</v>
      </c>
      <c r="AB49" s="364">
        <f>IF('Berechnung Nährstoffe und Lager'!$X$5&lt;3,Z49,AA49)</f>
        <v>1</v>
      </c>
      <c r="AC49" s="364">
        <v>60</v>
      </c>
      <c r="AD49" s="181">
        <v>90</v>
      </c>
      <c r="AE49" s="181">
        <v>10</v>
      </c>
      <c r="AG49" s="1549">
        <v>0.85</v>
      </c>
      <c r="AH49" s="181">
        <v>400</v>
      </c>
      <c r="AI49" s="181">
        <v>60</v>
      </c>
      <c r="AJ49" s="1549">
        <v>0.82</v>
      </c>
      <c r="AK49" s="181">
        <v>400</v>
      </c>
      <c r="AL49" s="181">
        <v>60</v>
      </c>
      <c r="AM49" s="181">
        <v>40</v>
      </c>
      <c r="AN49" s="181">
        <v>100</v>
      </c>
    </row>
    <row r="50" spans="1:40" x14ac:dyDescent="0.2">
      <c r="A50" s="47"/>
      <c r="B50" s="51" t="s">
        <v>64</v>
      </c>
      <c r="C50" s="260">
        <v>0.16</v>
      </c>
      <c r="D50" s="235">
        <v>14.1</v>
      </c>
      <c r="E50" s="220">
        <v>6</v>
      </c>
      <c r="F50" s="259">
        <v>7</v>
      </c>
      <c r="G50" s="242">
        <v>3.8</v>
      </c>
      <c r="H50" s="220">
        <v>2.7</v>
      </c>
      <c r="I50" s="221">
        <v>1.8</v>
      </c>
      <c r="J50" s="219">
        <v>1.8</v>
      </c>
      <c r="K50" s="382">
        <v>5.5</v>
      </c>
      <c r="L50" s="226">
        <v>0.5</v>
      </c>
      <c r="M50" s="222">
        <v>1.3</v>
      </c>
      <c r="N50" s="223">
        <v>1.9</v>
      </c>
      <c r="O50" s="332">
        <v>2.6</v>
      </c>
      <c r="P50" s="382">
        <v>22.9</v>
      </c>
      <c r="Q50" s="221">
        <v>0.7</v>
      </c>
      <c r="R50" s="218">
        <v>0.7</v>
      </c>
      <c r="S50" s="382">
        <v>1.8</v>
      </c>
      <c r="T50" s="219">
        <v>20</v>
      </c>
      <c r="U50" s="52">
        <v>30</v>
      </c>
      <c r="V50" s="178">
        <v>0.9</v>
      </c>
      <c r="W50" s="336">
        <v>3.1</v>
      </c>
      <c r="X50" s="337">
        <v>7</v>
      </c>
      <c r="Y50" s="338">
        <v>12</v>
      </c>
      <c r="Z50" s="364">
        <v>1</v>
      </c>
      <c r="AA50" s="364">
        <v>2</v>
      </c>
      <c r="AB50" s="364">
        <f>IF('Berechnung Nährstoffe und Lager'!$X$5&lt;3,Z50,AA50)</f>
        <v>1</v>
      </c>
      <c r="AC50" s="364">
        <v>60</v>
      </c>
      <c r="AD50" s="181">
        <v>90</v>
      </c>
      <c r="AE50" s="181">
        <v>10</v>
      </c>
      <c r="AG50" s="1549">
        <v>0.85</v>
      </c>
      <c r="AH50" s="181">
        <v>400</v>
      </c>
      <c r="AI50" s="181">
        <v>60</v>
      </c>
      <c r="AJ50" s="1549">
        <v>0.82</v>
      </c>
      <c r="AK50" s="181">
        <v>400</v>
      </c>
      <c r="AL50" s="181">
        <v>60</v>
      </c>
      <c r="AM50" s="181">
        <v>40</v>
      </c>
      <c r="AN50" s="181">
        <v>100</v>
      </c>
    </row>
    <row r="51" spans="1:40" x14ac:dyDescent="0.2">
      <c r="A51" s="47"/>
      <c r="B51" s="51" t="s">
        <v>65</v>
      </c>
      <c r="C51" s="260">
        <v>0.16</v>
      </c>
      <c r="D51" s="235">
        <v>13.4</v>
      </c>
      <c r="E51" s="220">
        <v>5.0999999999999996</v>
      </c>
      <c r="F51" s="259">
        <v>6.8</v>
      </c>
      <c r="G51" s="242">
        <v>3.9</v>
      </c>
      <c r="H51" s="220">
        <v>2.7</v>
      </c>
      <c r="I51" s="221">
        <v>1.8</v>
      </c>
      <c r="J51" s="219">
        <v>1.8</v>
      </c>
      <c r="K51" s="382">
        <v>5.5</v>
      </c>
      <c r="L51" s="226">
        <v>0.5</v>
      </c>
      <c r="M51" s="222">
        <v>1.3</v>
      </c>
      <c r="N51" s="223">
        <v>1.9</v>
      </c>
      <c r="O51" s="332">
        <v>2.6</v>
      </c>
      <c r="P51" s="382">
        <v>23</v>
      </c>
      <c r="Q51" s="221">
        <v>0.7</v>
      </c>
      <c r="R51" s="218">
        <v>0.7</v>
      </c>
      <c r="S51" s="382">
        <v>1.8</v>
      </c>
      <c r="T51" s="219">
        <v>20</v>
      </c>
      <c r="U51" s="52">
        <v>30</v>
      </c>
      <c r="V51" s="178">
        <v>0.9</v>
      </c>
      <c r="W51" s="336">
        <v>3.1</v>
      </c>
      <c r="X51" s="337">
        <v>7</v>
      </c>
      <c r="Y51" s="338">
        <v>12</v>
      </c>
      <c r="Z51" s="364">
        <v>1</v>
      </c>
      <c r="AA51" s="364">
        <v>2</v>
      </c>
      <c r="AB51" s="364">
        <f>IF('Berechnung Nährstoffe und Lager'!$X$5&lt;3,Z51,AA51)</f>
        <v>1</v>
      </c>
      <c r="AC51" s="364">
        <v>60</v>
      </c>
      <c r="AD51" s="181">
        <v>90</v>
      </c>
      <c r="AE51" s="181">
        <v>10</v>
      </c>
      <c r="AG51" s="1549">
        <v>0.85</v>
      </c>
      <c r="AH51" s="181">
        <v>400</v>
      </c>
      <c r="AI51" s="181">
        <v>60</v>
      </c>
      <c r="AJ51" s="1549">
        <v>0.82</v>
      </c>
      <c r="AK51" s="181">
        <v>400</v>
      </c>
      <c r="AL51" s="181">
        <v>60</v>
      </c>
      <c r="AM51" s="181">
        <v>40</v>
      </c>
      <c r="AN51" s="181">
        <v>100</v>
      </c>
    </row>
    <row r="52" spans="1:40" x14ac:dyDescent="0.2">
      <c r="A52" s="56"/>
      <c r="B52" s="51" t="s">
        <v>66</v>
      </c>
      <c r="C52" s="260">
        <v>0.16</v>
      </c>
      <c r="D52" s="235">
        <v>15.4</v>
      </c>
      <c r="E52" s="220">
        <v>6.3</v>
      </c>
      <c r="F52" s="259">
        <v>7.5</v>
      </c>
      <c r="G52" s="242">
        <v>4.0999999999999996</v>
      </c>
      <c r="H52" s="220">
        <v>2.9</v>
      </c>
      <c r="I52" s="221">
        <v>1.9</v>
      </c>
      <c r="J52" s="219">
        <v>1.9</v>
      </c>
      <c r="K52" s="382">
        <v>5.5</v>
      </c>
      <c r="L52" s="226">
        <v>0.5</v>
      </c>
      <c r="M52" s="222">
        <v>1.4</v>
      </c>
      <c r="N52" s="223">
        <v>1.9</v>
      </c>
      <c r="O52" s="332">
        <v>2.6</v>
      </c>
      <c r="P52" s="382">
        <v>22.1</v>
      </c>
      <c r="Q52" s="221">
        <v>0.7</v>
      </c>
      <c r="R52" s="218">
        <v>0.8</v>
      </c>
      <c r="S52" s="382">
        <v>1.8</v>
      </c>
      <c r="T52" s="219">
        <v>20</v>
      </c>
      <c r="U52" s="52">
        <v>30</v>
      </c>
      <c r="V52" s="178">
        <v>0.9</v>
      </c>
      <c r="W52" s="336">
        <v>3.1</v>
      </c>
      <c r="X52" s="337">
        <v>7</v>
      </c>
      <c r="Y52" s="338">
        <v>12</v>
      </c>
      <c r="Z52" s="364">
        <v>1</v>
      </c>
      <c r="AA52" s="364">
        <v>2</v>
      </c>
      <c r="AB52" s="364">
        <f>IF('Berechnung Nährstoffe und Lager'!$X$5&lt;3,Z52,AA52)</f>
        <v>1</v>
      </c>
      <c r="AC52" s="364">
        <v>60</v>
      </c>
      <c r="AD52" s="181">
        <v>90</v>
      </c>
      <c r="AE52" s="181">
        <v>10</v>
      </c>
      <c r="AG52" s="1549">
        <v>0.85</v>
      </c>
      <c r="AH52" s="181">
        <v>400</v>
      </c>
      <c r="AI52" s="181">
        <v>60</v>
      </c>
      <c r="AJ52" s="1549">
        <v>0.82</v>
      </c>
      <c r="AK52" s="181">
        <v>400</v>
      </c>
      <c r="AL52" s="181">
        <v>60</v>
      </c>
      <c r="AM52" s="181">
        <v>40</v>
      </c>
      <c r="AN52" s="181">
        <v>100</v>
      </c>
    </row>
    <row r="53" spans="1:40" x14ac:dyDescent="0.2">
      <c r="A53" s="56"/>
      <c r="B53" s="51" t="s">
        <v>67</v>
      </c>
      <c r="C53" s="260">
        <v>0.16</v>
      </c>
      <c r="D53" s="511">
        <v>14.8</v>
      </c>
      <c r="E53" s="220">
        <v>5.4</v>
      </c>
      <c r="F53" s="259">
        <v>7.3</v>
      </c>
      <c r="G53" s="242">
        <v>4.2</v>
      </c>
      <c r="H53" s="220">
        <v>2.9</v>
      </c>
      <c r="I53" s="221">
        <v>1.9</v>
      </c>
      <c r="J53" s="219">
        <v>1.9</v>
      </c>
      <c r="K53" s="382">
        <v>5.5</v>
      </c>
      <c r="L53" s="226">
        <v>0.5</v>
      </c>
      <c r="M53" s="222">
        <v>1.4</v>
      </c>
      <c r="N53" s="223">
        <v>1.9</v>
      </c>
      <c r="O53" s="332">
        <v>2.6</v>
      </c>
      <c r="P53" s="382">
        <v>22.2</v>
      </c>
      <c r="Q53" s="221">
        <v>0.7</v>
      </c>
      <c r="R53" s="218">
        <v>0.8</v>
      </c>
      <c r="S53" s="382">
        <v>1.8</v>
      </c>
      <c r="T53" s="219">
        <v>20</v>
      </c>
      <c r="U53" s="52">
        <v>30</v>
      </c>
      <c r="V53" s="178">
        <v>0.9</v>
      </c>
      <c r="W53" s="336">
        <v>3.1</v>
      </c>
      <c r="X53" s="337">
        <v>7</v>
      </c>
      <c r="Y53" s="338">
        <v>12</v>
      </c>
      <c r="Z53" s="364">
        <v>1</v>
      </c>
      <c r="AA53" s="364">
        <v>2</v>
      </c>
      <c r="AB53" s="364">
        <f>IF('Berechnung Nährstoffe und Lager'!$X$5&lt;3,Z53,AA53)</f>
        <v>1</v>
      </c>
      <c r="AC53" s="364">
        <v>60</v>
      </c>
      <c r="AD53" s="181">
        <v>90</v>
      </c>
      <c r="AE53" s="181">
        <v>10</v>
      </c>
      <c r="AG53" s="1549">
        <v>0.85</v>
      </c>
      <c r="AH53" s="181">
        <v>400</v>
      </c>
      <c r="AI53" s="181">
        <v>60</v>
      </c>
      <c r="AJ53" s="1549">
        <v>0.82</v>
      </c>
      <c r="AK53" s="181">
        <v>400</v>
      </c>
      <c r="AL53" s="181">
        <v>60</v>
      </c>
      <c r="AM53" s="181">
        <v>40</v>
      </c>
      <c r="AN53" s="181">
        <v>100</v>
      </c>
    </row>
    <row r="54" spans="1:40" x14ac:dyDescent="0.2">
      <c r="A54" s="57"/>
      <c r="B54" s="58" t="s">
        <v>68</v>
      </c>
      <c r="C54" s="227">
        <v>0.3</v>
      </c>
      <c r="D54" s="225">
        <v>22.1</v>
      </c>
      <c r="E54" s="229">
        <v>9.6</v>
      </c>
      <c r="F54" s="265">
        <v>8.8000000000000007</v>
      </c>
      <c r="G54" s="266">
        <v>4.5</v>
      </c>
      <c r="H54" s="229">
        <v>3.2</v>
      </c>
      <c r="I54" s="230">
        <v>2.1</v>
      </c>
      <c r="J54" s="228">
        <v>3.6</v>
      </c>
      <c r="K54" s="382">
        <v>5.5</v>
      </c>
      <c r="L54" s="372">
        <v>1</v>
      </c>
      <c r="M54" s="231">
        <v>2.5</v>
      </c>
      <c r="N54" s="232">
        <v>3.6</v>
      </c>
      <c r="O54" s="376">
        <v>4.9000000000000004</v>
      </c>
      <c r="P54" s="382">
        <v>19.8</v>
      </c>
      <c r="Q54" s="221">
        <v>1</v>
      </c>
      <c r="R54" s="227">
        <v>1.5</v>
      </c>
      <c r="S54" s="382">
        <v>1.8</v>
      </c>
      <c r="T54" s="228">
        <v>20</v>
      </c>
      <c r="U54" s="233">
        <v>30</v>
      </c>
      <c r="V54" s="178">
        <v>0.9</v>
      </c>
      <c r="W54" s="336">
        <v>3.3</v>
      </c>
      <c r="X54" s="337">
        <v>7</v>
      </c>
      <c r="Y54" s="338">
        <v>12</v>
      </c>
      <c r="Z54" s="364">
        <v>1</v>
      </c>
      <c r="AA54" s="364">
        <v>2</v>
      </c>
      <c r="AB54" s="364">
        <f>IF('Berechnung Nährstoffe und Lager'!$X$5&lt;3,Z54,AA54)</f>
        <v>1</v>
      </c>
      <c r="AC54" s="364">
        <v>60</v>
      </c>
      <c r="AD54" s="181">
        <v>90</v>
      </c>
      <c r="AE54" s="181">
        <v>10</v>
      </c>
      <c r="AG54" s="1549">
        <v>0.85</v>
      </c>
      <c r="AH54" s="181">
        <v>400</v>
      </c>
      <c r="AI54" s="181">
        <v>60</v>
      </c>
      <c r="AJ54" s="1549">
        <v>0.82</v>
      </c>
      <c r="AK54" s="181">
        <v>400</v>
      </c>
      <c r="AL54" s="181">
        <v>60</v>
      </c>
      <c r="AM54" s="181">
        <v>40</v>
      </c>
      <c r="AN54" s="181">
        <v>100</v>
      </c>
    </row>
    <row r="55" spans="1:40" x14ac:dyDescent="0.2">
      <c r="A55" s="56"/>
      <c r="B55" s="51" t="s">
        <v>69</v>
      </c>
      <c r="C55" s="279">
        <v>4.0000000000000001E-3</v>
      </c>
      <c r="D55" s="264">
        <v>0.85</v>
      </c>
      <c r="E55" s="261">
        <v>0.44</v>
      </c>
      <c r="F55" s="280">
        <v>0.38</v>
      </c>
      <c r="G55" s="242"/>
      <c r="H55" s="281"/>
      <c r="I55" s="282"/>
      <c r="J55" s="118"/>
      <c r="K55" s="236"/>
      <c r="L55" s="226">
        <v>3.7</v>
      </c>
      <c r="M55" s="360">
        <f t="shared" ref="M55:O56" si="10">24.4817073170732/1000</f>
        <v>2.4481707317073203E-2</v>
      </c>
      <c r="N55" s="360">
        <f t="shared" si="10"/>
        <v>2.4481707317073203E-2</v>
      </c>
      <c r="O55" s="374">
        <f t="shared" si="10"/>
        <v>2.4481707317073203E-2</v>
      </c>
      <c r="P55" s="382">
        <v>50</v>
      </c>
      <c r="Q55" s="300">
        <v>0</v>
      </c>
      <c r="R55" s="286">
        <v>0</v>
      </c>
      <c r="S55" s="385"/>
      <c r="T55" s="235">
        <v>40</v>
      </c>
      <c r="U55" s="226">
        <v>40</v>
      </c>
      <c r="V55" s="178">
        <v>0.7</v>
      </c>
      <c r="W55" s="359">
        <v>0.93</v>
      </c>
      <c r="X55" s="359">
        <v>0.93</v>
      </c>
      <c r="Y55" s="359">
        <v>0.93</v>
      </c>
      <c r="Z55" s="364">
        <v>5</v>
      </c>
      <c r="AA55" s="364">
        <v>5</v>
      </c>
      <c r="AB55" s="364">
        <f>IF('Berechnung Nährstoffe und Lager'!$X$5&lt;3,Z55,AA55)</f>
        <v>5</v>
      </c>
      <c r="AC55" s="364">
        <v>50</v>
      </c>
      <c r="AD55" s="181">
        <v>90</v>
      </c>
      <c r="AE55" s="181">
        <v>45</v>
      </c>
      <c r="AG55" s="1549">
        <v>0.74</v>
      </c>
      <c r="AH55" s="181">
        <v>500</v>
      </c>
      <c r="AI55" s="181">
        <v>58</v>
      </c>
      <c r="AJ55" s="1549">
        <v>0.75</v>
      </c>
      <c r="AK55" s="181">
        <v>500</v>
      </c>
      <c r="AL55" s="181">
        <v>55</v>
      </c>
      <c r="AM55" s="181">
        <v>40</v>
      </c>
      <c r="AN55" s="181">
        <v>100</v>
      </c>
    </row>
    <row r="56" spans="1:40" x14ac:dyDescent="0.2">
      <c r="A56" s="56"/>
      <c r="B56" s="51" t="s">
        <v>70</v>
      </c>
      <c r="C56" s="279">
        <v>4.0000000000000001E-3</v>
      </c>
      <c r="D56" s="264">
        <v>0.81</v>
      </c>
      <c r="E56" s="261">
        <v>0.39</v>
      </c>
      <c r="F56" s="280">
        <v>0.38</v>
      </c>
      <c r="G56" s="242"/>
      <c r="H56" s="281"/>
      <c r="I56" s="282"/>
      <c r="J56" s="118"/>
      <c r="K56" s="236"/>
      <c r="L56" s="226">
        <v>3.7</v>
      </c>
      <c r="M56" s="360">
        <f t="shared" si="10"/>
        <v>2.4481707317073203E-2</v>
      </c>
      <c r="N56" s="360">
        <f t="shared" si="10"/>
        <v>2.4481707317073203E-2</v>
      </c>
      <c r="O56" s="374">
        <f t="shared" si="10"/>
        <v>2.4481707317073203E-2</v>
      </c>
      <c r="P56" s="382">
        <v>50</v>
      </c>
      <c r="Q56" s="300">
        <v>0</v>
      </c>
      <c r="R56" s="286">
        <v>0</v>
      </c>
      <c r="S56" s="385"/>
      <c r="T56" s="235">
        <v>40</v>
      </c>
      <c r="U56" s="226">
        <v>40</v>
      </c>
      <c r="V56" s="178">
        <v>0.7</v>
      </c>
      <c r="W56" s="359">
        <v>0.93</v>
      </c>
      <c r="X56" s="359">
        <v>0.93</v>
      </c>
      <c r="Y56" s="359">
        <v>0.93</v>
      </c>
      <c r="Z56" s="364">
        <v>5</v>
      </c>
      <c r="AA56" s="364">
        <v>5</v>
      </c>
      <c r="AB56" s="364">
        <f>IF('Berechnung Nährstoffe und Lager'!$X$5&lt;3,Z56,AA56)</f>
        <v>5</v>
      </c>
      <c r="AC56" s="364">
        <v>50</v>
      </c>
      <c r="AD56" s="181">
        <v>90</v>
      </c>
      <c r="AE56" s="181">
        <v>45</v>
      </c>
      <c r="AG56" s="1549">
        <v>0.74</v>
      </c>
      <c r="AH56" s="181">
        <v>500</v>
      </c>
      <c r="AI56" s="181">
        <v>58</v>
      </c>
      <c r="AJ56" s="1549">
        <v>0.75</v>
      </c>
      <c r="AK56" s="181">
        <v>500</v>
      </c>
      <c r="AL56" s="181">
        <v>55</v>
      </c>
      <c r="AM56" s="181">
        <v>40</v>
      </c>
      <c r="AN56" s="181">
        <v>100</v>
      </c>
    </row>
    <row r="57" spans="1:40" x14ac:dyDescent="0.2">
      <c r="A57" s="56"/>
      <c r="B57" s="51" t="s">
        <v>71</v>
      </c>
      <c r="C57" s="279">
        <v>4.0000000000000001E-3</v>
      </c>
      <c r="D57" s="264">
        <v>0.32</v>
      </c>
      <c r="E57" s="261">
        <v>0.21</v>
      </c>
      <c r="F57" s="280">
        <v>0.15</v>
      </c>
      <c r="G57" s="242"/>
      <c r="H57" s="281"/>
      <c r="I57" s="282"/>
      <c r="J57" s="219"/>
      <c r="K57" s="218"/>
      <c r="L57" s="226">
        <v>2.2999999999999998</v>
      </c>
      <c r="M57" s="360">
        <f t="shared" ref="M57:O58" si="11">8.44907407407407/1000</f>
        <v>8.4490740740740707E-3</v>
      </c>
      <c r="N57" s="360">
        <f t="shared" si="11"/>
        <v>8.4490740740740707E-3</v>
      </c>
      <c r="O57" s="374">
        <f t="shared" si="11"/>
        <v>8.4490740740740707E-3</v>
      </c>
      <c r="P57" s="382">
        <v>50</v>
      </c>
      <c r="Q57" s="300">
        <v>0</v>
      </c>
      <c r="R57" s="286">
        <v>0</v>
      </c>
      <c r="S57" s="385"/>
      <c r="T57" s="235">
        <v>40</v>
      </c>
      <c r="U57" s="226">
        <v>40</v>
      </c>
      <c r="V57" s="178">
        <v>0.7</v>
      </c>
      <c r="W57" s="359">
        <v>0.59</v>
      </c>
      <c r="X57" s="359">
        <v>0.59</v>
      </c>
      <c r="Y57" s="359">
        <v>0.59</v>
      </c>
      <c r="Z57" s="364">
        <v>5</v>
      </c>
      <c r="AA57" s="364">
        <v>5</v>
      </c>
      <c r="AB57" s="364">
        <f>IF('Berechnung Nährstoffe und Lager'!$X$5&lt;3,Z57,AA57)</f>
        <v>5</v>
      </c>
      <c r="AC57" s="364">
        <v>50</v>
      </c>
      <c r="AD57" s="181">
        <v>90</v>
      </c>
      <c r="AE57" s="181">
        <v>45</v>
      </c>
      <c r="AG57" s="1549">
        <v>0.74</v>
      </c>
      <c r="AH57" s="181">
        <v>500</v>
      </c>
      <c r="AI57" s="181">
        <v>58</v>
      </c>
      <c r="AJ57" s="1549">
        <v>0.75</v>
      </c>
      <c r="AK57" s="181">
        <v>500</v>
      </c>
      <c r="AL57" s="181">
        <v>55</v>
      </c>
      <c r="AM57" s="181">
        <v>40</v>
      </c>
      <c r="AN57" s="181">
        <v>100</v>
      </c>
    </row>
    <row r="58" spans="1:40" x14ac:dyDescent="0.2">
      <c r="A58" s="56"/>
      <c r="B58" s="51" t="s">
        <v>72</v>
      </c>
      <c r="C58" s="279">
        <v>4.0000000000000001E-3</v>
      </c>
      <c r="D58" s="264">
        <v>0.3</v>
      </c>
      <c r="E58" s="261">
        <v>0.18</v>
      </c>
      <c r="F58" s="280">
        <v>0.15</v>
      </c>
      <c r="G58" s="242"/>
      <c r="H58" s="281"/>
      <c r="I58" s="282"/>
      <c r="J58" s="219"/>
      <c r="K58" s="218"/>
      <c r="L58" s="226">
        <v>2.2999999999999998</v>
      </c>
      <c r="M58" s="360">
        <f t="shared" si="11"/>
        <v>8.4490740740740707E-3</v>
      </c>
      <c r="N58" s="360">
        <f t="shared" si="11"/>
        <v>8.4490740740740707E-3</v>
      </c>
      <c r="O58" s="374">
        <f t="shared" si="11"/>
        <v>8.4490740740740707E-3</v>
      </c>
      <c r="P58" s="382">
        <v>50</v>
      </c>
      <c r="Q58" s="300">
        <v>0</v>
      </c>
      <c r="R58" s="286">
        <v>0</v>
      </c>
      <c r="S58" s="385"/>
      <c r="T58" s="235">
        <v>40</v>
      </c>
      <c r="U58" s="226">
        <v>40</v>
      </c>
      <c r="V58" s="178">
        <v>0.7</v>
      </c>
      <c r="W58" s="359">
        <v>0.59</v>
      </c>
      <c r="X58" s="359">
        <v>0.59</v>
      </c>
      <c r="Y58" s="359">
        <v>0.59</v>
      </c>
      <c r="Z58" s="364">
        <v>5</v>
      </c>
      <c r="AA58" s="364">
        <v>5</v>
      </c>
      <c r="AB58" s="364">
        <f>IF('Berechnung Nährstoffe und Lager'!$X$5&lt;3,Z58,AA58)</f>
        <v>5</v>
      </c>
      <c r="AC58" s="364">
        <v>50</v>
      </c>
      <c r="AD58" s="181">
        <v>90</v>
      </c>
      <c r="AE58" s="181">
        <v>45</v>
      </c>
      <c r="AG58" s="1549">
        <v>0.74</v>
      </c>
      <c r="AH58" s="181">
        <v>500</v>
      </c>
      <c r="AI58" s="181">
        <v>58</v>
      </c>
      <c r="AJ58" s="1549">
        <v>0.75</v>
      </c>
      <c r="AK58" s="181">
        <v>500</v>
      </c>
      <c r="AL58" s="181">
        <v>55</v>
      </c>
      <c r="AM58" s="181">
        <v>40</v>
      </c>
      <c r="AN58" s="181">
        <v>100</v>
      </c>
    </row>
    <row r="59" spans="1:40" x14ac:dyDescent="0.2">
      <c r="A59" s="47"/>
      <c r="B59" s="60" t="s">
        <v>73</v>
      </c>
      <c r="C59" s="279">
        <v>4.0000000000000001E-3</v>
      </c>
      <c r="D59" s="264">
        <v>0.52</v>
      </c>
      <c r="E59" s="261">
        <v>0.25</v>
      </c>
      <c r="F59" s="280">
        <v>0.28000000000000003</v>
      </c>
      <c r="G59" s="242"/>
      <c r="H59" s="281"/>
      <c r="I59" s="282"/>
      <c r="J59" s="118"/>
      <c r="K59" s="236"/>
      <c r="L59" s="226">
        <v>1.8</v>
      </c>
      <c r="M59" s="360">
        <f t="shared" ref="M59:O60" si="12">14.8081140350877/1000</f>
        <v>1.4808114035087699E-2</v>
      </c>
      <c r="N59" s="360">
        <f t="shared" si="12"/>
        <v>1.4808114035087699E-2</v>
      </c>
      <c r="O59" s="374">
        <f t="shared" si="12"/>
        <v>1.4808114035087699E-2</v>
      </c>
      <c r="P59" s="382">
        <v>60</v>
      </c>
      <c r="Q59" s="300">
        <v>0</v>
      </c>
      <c r="R59" s="286">
        <v>0</v>
      </c>
      <c r="S59" s="385"/>
      <c r="T59" s="235">
        <v>40</v>
      </c>
      <c r="U59" s="226">
        <v>40</v>
      </c>
      <c r="V59" s="178">
        <v>0.7</v>
      </c>
      <c r="W59" s="359">
        <v>0.46</v>
      </c>
      <c r="X59" s="359">
        <v>0.46</v>
      </c>
      <c r="Y59" s="359">
        <v>0.46</v>
      </c>
      <c r="Z59" s="364">
        <v>5</v>
      </c>
      <c r="AA59" s="364">
        <v>5</v>
      </c>
      <c r="AB59" s="364">
        <f>IF('Berechnung Nährstoffe und Lager'!$X$5&lt;3,Z59,AA59)</f>
        <v>5</v>
      </c>
      <c r="AC59" s="364">
        <v>50</v>
      </c>
      <c r="AD59" s="181">
        <v>90</v>
      </c>
      <c r="AE59" s="181">
        <v>45</v>
      </c>
      <c r="AG59" s="1549">
        <v>0.74</v>
      </c>
      <c r="AH59" s="181">
        <v>500</v>
      </c>
      <c r="AI59" s="181">
        <v>58</v>
      </c>
      <c r="AJ59" s="1549">
        <v>0.75</v>
      </c>
      <c r="AK59" s="181">
        <v>500</v>
      </c>
      <c r="AL59" s="181">
        <v>55</v>
      </c>
      <c r="AM59" s="181">
        <v>40</v>
      </c>
      <c r="AN59" s="181">
        <v>100</v>
      </c>
    </row>
    <row r="60" spans="1:40" x14ac:dyDescent="0.2">
      <c r="A60" s="47"/>
      <c r="B60" s="288" t="s">
        <v>74</v>
      </c>
      <c r="C60" s="279">
        <v>4.0000000000000001E-3</v>
      </c>
      <c r="D60" s="264">
        <v>0.48</v>
      </c>
      <c r="E60" s="261">
        <v>0.23</v>
      </c>
      <c r="F60" s="280">
        <v>0.28000000000000003</v>
      </c>
      <c r="G60" s="242"/>
      <c r="H60" s="281"/>
      <c r="I60" s="282"/>
      <c r="J60" s="118"/>
      <c r="K60" s="236"/>
      <c r="L60" s="226">
        <v>1.8</v>
      </c>
      <c r="M60" s="360">
        <f t="shared" si="12"/>
        <v>1.4808114035087699E-2</v>
      </c>
      <c r="N60" s="360">
        <f t="shared" si="12"/>
        <v>1.4808114035087699E-2</v>
      </c>
      <c r="O60" s="374">
        <f t="shared" si="12"/>
        <v>1.4808114035087699E-2</v>
      </c>
      <c r="P60" s="382">
        <v>60</v>
      </c>
      <c r="Q60" s="300">
        <v>0</v>
      </c>
      <c r="R60" s="286">
        <v>0</v>
      </c>
      <c r="S60" s="385"/>
      <c r="T60" s="235">
        <v>40</v>
      </c>
      <c r="U60" s="226">
        <v>40</v>
      </c>
      <c r="V60" s="178">
        <v>0.7</v>
      </c>
      <c r="W60" s="359">
        <v>0.46</v>
      </c>
      <c r="X60" s="359">
        <v>0.46</v>
      </c>
      <c r="Y60" s="359">
        <v>0.46</v>
      </c>
      <c r="Z60" s="364">
        <v>5</v>
      </c>
      <c r="AA60" s="364">
        <v>5</v>
      </c>
      <c r="AB60" s="364">
        <f>IF('Berechnung Nährstoffe und Lager'!$X$5&lt;3,Z60,AA60)</f>
        <v>5</v>
      </c>
      <c r="AC60" s="364">
        <v>50</v>
      </c>
      <c r="AD60" s="181">
        <v>90</v>
      </c>
      <c r="AE60" s="181">
        <v>45</v>
      </c>
      <c r="AG60" s="1549">
        <v>0.74</v>
      </c>
      <c r="AH60" s="181">
        <v>500</v>
      </c>
      <c r="AI60" s="181">
        <v>58</v>
      </c>
      <c r="AJ60" s="1549">
        <v>0.75</v>
      </c>
      <c r="AK60" s="181">
        <v>500</v>
      </c>
      <c r="AL60" s="181">
        <v>55</v>
      </c>
      <c r="AM60" s="181">
        <v>40</v>
      </c>
      <c r="AN60" s="181">
        <v>100</v>
      </c>
    </row>
    <row r="61" spans="1:40" x14ac:dyDescent="0.2">
      <c r="A61" s="47"/>
      <c r="B61" s="60" t="s">
        <v>75</v>
      </c>
      <c r="C61" s="279">
        <v>4.0000000000000001E-3</v>
      </c>
      <c r="D61" s="264">
        <v>2.42</v>
      </c>
      <c r="E61" s="261">
        <v>1.36</v>
      </c>
      <c r="F61" s="280">
        <v>1.17</v>
      </c>
      <c r="G61" s="242"/>
      <c r="H61" s="281"/>
      <c r="I61" s="282"/>
      <c r="J61" s="219"/>
      <c r="K61" s="218"/>
      <c r="L61" s="226">
        <v>21.6</v>
      </c>
      <c r="M61" s="360">
        <f t="shared" ref="M61:O62" si="13">54.625850340136/1000</f>
        <v>5.4625850340135999E-2</v>
      </c>
      <c r="N61" s="360">
        <f t="shared" si="13"/>
        <v>5.4625850340135999E-2</v>
      </c>
      <c r="O61" s="374">
        <f t="shared" si="13"/>
        <v>5.4625850340135999E-2</v>
      </c>
      <c r="P61" s="382">
        <v>50</v>
      </c>
      <c r="Q61" s="300">
        <v>0</v>
      </c>
      <c r="R61" s="286">
        <v>0</v>
      </c>
      <c r="S61" s="385"/>
      <c r="T61" s="235">
        <v>40</v>
      </c>
      <c r="U61" s="226">
        <v>40</v>
      </c>
      <c r="V61" s="178">
        <v>0.7</v>
      </c>
      <c r="W61" s="359">
        <v>5.41</v>
      </c>
      <c r="X61" s="359">
        <v>5.41</v>
      </c>
      <c r="Y61" s="359">
        <v>5.41</v>
      </c>
      <c r="Z61" s="364">
        <v>5</v>
      </c>
      <c r="AA61" s="364">
        <v>5</v>
      </c>
      <c r="AB61" s="364">
        <f>IF('Berechnung Nährstoffe und Lager'!$X$5&lt;3,Z61,AA61)</f>
        <v>5</v>
      </c>
      <c r="AC61" s="364">
        <v>50</v>
      </c>
      <c r="AD61" s="181">
        <v>90</v>
      </c>
      <c r="AE61" s="181">
        <v>45</v>
      </c>
      <c r="AG61" s="1549">
        <v>0.74</v>
      </c>
      <c r="AH61" s="181">
        <v>500</v>
      </c>
      <c r="AI61" s="181">
        <v>58</v>
      </c>
      <c r="AJ61" s="1549">
        <v>0.75</v>
      </c>
      <c r="AK61" s="181">
        <v>500</v>
      </c>
      <c r="AL61" s="181">
        <v>55</v>
      </c>
      <c r="AM61" s="181">
        <v>40</v>
      </c>
      <c r="AN61" s="181">
        <v>100</v>
      </c>
    </row>
    <row r="62" spans="1:40" x14ac:dyDescent="0.2">
      <c r="A62" s="47"/>
      <c r="B62" s="60" t="s">
        <v>76</v>
      </c>
      <c r="C62" s="279">
        <v>4.0000000000000001E-3</v>
      </c>
      <c r="D62" s="264">
        <v>2.25</v>
      </c>
      <c r="E62" s="261">
        <v>1.06</v>
      </c>
      <c r="F62" s="280">
        <v>1.1100000000000001</v>
      </c>
      <c r="G62" s="242"/>
      <c r="H62" s="281"/>
      <c r="I62" s="282"/>
      <c r="J62" s="219"/>
      <c r="K62" s="218"/>
      <c r="L62" s="226">
        <v>21.6</v>
      </c>
      <c r="M62" s="360">
        <f t="shared" si="13"/>
        <v>5.4625850340135999E-2</v>
      </c>
      <c r="N62" s="360">
        <f t="shared" si="13"/>
        <v>5.4625850340135999E-2</v>
      </c>
      <c r="O62" s="374">
        <f t="shared" si="13"/>
        <v>5.4625850340135999E-2</v>
      </c>
      <c r="P62" s="382">
        <v>50</v>
      </c>
      <c r="Q62" s="300">
        <v>0</v>
      </c>
      <c r="R62" s="286">
        <v>0</v>
      </c>
      <c r="S62" s="385"/>
      <c r="T62" s="235">
        <v>40</v>
      </c>
      <c r="U62" s="226">
        <v>40</v>
      </c>
      <c r="V62" s="178">
        <v>0.7</v>
      </c>
      <c r="W62" s="359">
        <v>5.41</v>
      </c>
      <c r="X62" s="359">
        <v>5.41</v>
      </c>
      <c r="Y62" s="359">
        <v>5.41</v>
      </c>
      <c r="Z62" s="364">
        <v>5</v>
      </c>
      <c r="AA62" s="364">
        <v>5</v>
      </c>
      <c r="AB62" s="364">
        <f>IF('Berechnung Nährstoffe und Lager'!$X$5&lt;3,Z62,AA62)</f>
        <v>5</v>
      </c>
      <c r="AC62" s="364">
        <v>50</v>
      </c>
      <c r="AD62" s="181">
        <v>90</v>
      </c>
      <c r="AE62" s="181">
        <v>45</v>
      </c>
      <c r="AG62" s="1549">
        <v>0.74</v>
      </c>
      <c r="AH62" s="181">
        <v>500</v>
      </c>
      <c r="AI62" s="181">
        <v>58</v>
      </c>
      <c r="AJ62" s="1549">
        <v>0.75</v>
      </c>
      <c r="AK62" s="181">
        <v>500</v>
      </c>
      <c r="AL62" s="181">
        <v>55</v>
      </c>
      <c r="AM62" s="181">
        <v>40</v>
      </c>
      <c r="AN62" s="181">
        <v>100</v>
      </c>
    </row>
    <row r="63" spans="1:40" x14ac:dyDescent="0.2">
      <c r="A63" s="47"/>
      <c r="B63" s="60" t="s">
        <v>77</v>
      </c>
      <c r="C63" s="279">
        <v>4.0000000000000001E-3</v>
      </c>
      <c r="D63" s="264">
        <v>1.71</v>
      </c>
      <c r="E63" s="261">
        <v>0.93</v>
      </c>
      <c r="F63" s="280">
        <v>0.96</v>
      </c>
      <c r="G63" s="242"/>
      <c r="H63" s="281"/>
      <c r="I63" s="282"/>
      <c r="J63" s="118"/>
      <c r="K63" s="236"/>
      <c r="L63" s="226">
        <v>17.399999999999999</v>
      </c>
      <c r="M63" s="360">
        <f t="shared" ref="M63:O64" si="14">60.8333333333333/1000</f>
        <v>6.0833333333333302E-2</v>
      </c>
      <c r="N63" s="360">
        <f t="shared" si="14"/>
        <v>6.0833333333333302E-2</v>
      </c>
      <c r="O63" s="374">
        <f t="shared" si="14"/>
        <v>6.0833333333333302E-2</v>
      </c>
      <c r="P63" s="382">
        <v>50</v>
      </c>
      <c r="Q63" s="300">
        <v>0</v>
      </c>
      <c r="R63" s="286">
        <v>0</v>
      </c>
      <c r="S63" s="385"/>
      <c r="T63" s="235">
        <v>40</v>
      </c>
      <c r="U63" s="226">
        <v>40</v>
      </c>
      <c r="V63" s="178">
        <v>0.7</v>
      </c>
      <c r="W63" s="359">
        <v>4.34</v>
      </c>
      <c r="X63" s="359">
        <v>4.34</v>
      </c>
      <c r="Y63" s="359">
        <v>4.34</v>
      </c>
      <c r="Z63" s="364">
        <v>5</v>
      </c>
      <c r="AA63" s="364">
        <v>5</v>
      </c>
      <c r="AB63" s="364">
        <f>IF('Berechnung Nährstoffe und Lager'!$X$5&lt;3,Z63,AA63)</f>
        <v>5</v>
      </c>
      <c r="AC63" s="364">
        <v>50</v>
      </c>
      <c r="AD63" s="181">
        <v>90</v>
      </c>
      <c r="AE63" s="181">
        <v>45</v>
      </c>
      <c r="AG63" s="1549">
        <v>0.74</v>
      </c>
      <c r="AH63" s="181">
        <v>500</v>
      </c>
      <c r="AI63" s="181">
        <v>58</v>
      </c>
      <c r="AJ63" s="1549">
        <v>0.75</v>
      </c>
      <c r="AK63" s="181">
        <v>500</v>
      </c>
      <c r="AL63" s="181">
        <v>55</v>
      </c>
      <c r="AM63" s="181">
        <v>40</v>
      </c>
      <c r="AN63" s="181">
        <v>100</v>
      </c>
    </row>
    <row r="64" spans="1:40" x14ac:dyDescent="0.2">
      <c r="A64" s="47"/>
      <c r="B64" s="60" t="s">
        <v>78</v>
      </c>
      <c r="C64" s="279">
        <v>4.0000000000000001E-3</v>
      </c>
      <c r="D64" s="264">
        <v>1.62</v>
      </c>
      <c r="E64" s="261">
        <v>0.66</v>
      </c>
      <c r="F64" s="280">
        <v>0.92</v>
      </c>
      <c r="G64" s="242"/>
      <c r="H64" s="281"/>
      <c r="I64" s="282"/>
      <c r="J64" s="118"/>
      <c r="K64" s="236"/>
      <c r="L64" s="226">
        <v>17.399999999999999</v>
      </c>
      <c r="M64" s="360">
        <f t="shared" si="14"/>
        <v>6.0833333333333302E-2</v>
      </c>
      <c r="N64" s="360">
        <f t="shared" si="14"/>
        <v>6.0833333333333302E-2</v>
      </c>
      <c r="O64" s="374">
        <f t="shared" si="14"/>
        <v>6.0833333333333302E-2</v>
      </c>
      <c r="P64" s="382">
        <v>50</v>
      </c>
      <c r="Q64" s="300">
        <v>0</v>
      </c>
      <c r="R64" s="286">
        <v>0</v>
      </c>
      <c r="S64" s="385"/>
      <c r="T64" s="235">
        <v>40</v>
      </c>
      <c r="U64" s="226">
        <v>40</v>
      </c>
      <c r="V64" s="178">
        <v>0.7</v>
      </c>
      <c r="W64" s="359">
        <v>4.34</v>
      </c>
      <c r="X64" s="359">
        <v>4.34</v>
      </c>
      <c r="Y64" s="359">
        <v>4.34</v>
      </c>
      <c r="Z64" s="364">
        <v>5</v>
      </c>
      <c r="AA64" s="364">
        <v>5</v>
      </c>
      <c r="AB64" s="364">
        <f>IF('Berechnung Nährstoffe und Lager'!$X$5&lt;3,Z64,AA64)</f>
        <v>5</v>
      </c>
      <c r="AC64" s="364">
        <v>50</v>
      </c>
      <c r="AD64" s="181">
        <v>90</v>
      </c>
      <c r="AE64" s="181">
        <v>45</v>
      </c>
      <c r="AG64" s="1549">
        <v>0.74</v>
      </c>
      <c r="AH64" s="181">
        <v>500</v>
      </c>
      <c r="AI64" s="181">
        <v>58</v>
      </c>
      <c r="AJ64" s="1549">
        <v>0.75</v>
      </c>
      <c r="AK64" s="181">
        <v>500</v>
      </c>
      <c r="AL64" s="181">
        <v>55</v>
      </c>
      <c r="AM64" s="181">
        <v>40</v>
      </c>
      <c r="AN64" s="181">
        <v>100</v>
      </c>
    </row>
    <row r="65" spans="1:40" x14ac:dyDescent="0.2">
      <c r="A65" s="56"/>
      <c r="B65" s="51" t="s">
        <v>79</v>
      </c>
      <c r="C65" s="279">
        <v>4.0000000000000001E-3</v>
      </c>
      <c r="D65" s="264">
        <v>1.87</v>
      </c>
      <c r="E65" s="261">
        <v>0.57999999999999996</v>
      </c>
      <c r="F65" s="280">
        <v>1.79</v>
      </c>
      <c r="G65" s="242"/>
      <c r="H65" s="281"/>
      <c r="I65" s="282"/>
      <c r="J65" s="118"/>
      <c r="K65" s="236"/>
      <c r="L65" s="226">
        <v>53.3</v>
      </c>
      <c r="M65" s="361">
        <f>105.328571428571/1000</f>
        <v>0.10532857142857099</v>
      </c>
      <c r="N65" s="361">
        <f>105.328571428571/1000</f>
        <v>0.10532857142857099</v>
      </c>
      <c r="O65" s="377">
        <f>105.328571428571/1000</f>
        <v>0.10532857142857099</v>
      </c>
      <c r="P65" s="382">
        <v>30</v>
      </c>
      <c r="Q65" s="300">
        <v>0</v>
      </c>
      <c r="R65" s="286">
        <v>0</v>
      </c>
      <c r="S65" s="385"/>
      <c r="T65" s="235">
        <v>40</v>
      </c>
      <c r="U65" s="226">
        <v>40</v>
      </c>
      <c r="V65" s="178">
        <v>0.7</v>
      </c>
      <c r="W65" s="359">
        <v>13.33</v>
      </c>
      <c r="X65" s="359">
        <v>13.33</v>
      </c>
      <c r="Y65" s="359">
        <v>13.33</v>
      </c>
      <c r="Z65" s="364">
        <v>5</v>
      </c>
      <c r="AA65" s="364">
        <v>5</v>
      </c>
      <c r="AB65" s="364">
        <f>IF('Berechnung Nährstoffe und Lager'!$X$5&lt;3,Z65,AA65)</f>
        <v>5</v>
      </c>
      <c r="AC65" s="364">
        <v>50</v>
      </c>
      <c r="AD65" s="181">
        <v>90</v>
      </c>
      <c r="AE65" s="181">
        <v>45</v>
      </c>
      <c r="AG65" s="1549">
        <v>0.74</v>
      </c>
      <c r="AH65" s="181">
        <v>500</v>
      </c>
      <c r="AI65" s="181">
        <v>58</v>
      </c>
      <c r="AJ65" s="1549">
        <v>0.75</v>
      </c>
      <c r="AK65" s="181">
        <v>500</v>
      </c>
      <c r="AL65" s="181">
        <v>55</v>
      </c>
      <c r="AM65" s="181">
        <v>40</v>
      </c>
      <c r="AN65" s="181">
        <v>100</v>
      </c>
    </row>
    <row r="66" spans="1:40" x14ac:dyDescent="0.2">
      <c r="A66" s="56"/>
      <c r="B66" s="60" t="s">
        <v>80</v>
      </c>
      <c r="C66" s="279">
        <v>4.0000000000000001E-3</v>
      </c>
      <c r="D66" s="264">
        <v>0.71</v>
      </c>
      <c r="E66" s="261">
        <v>0.4</v>
      </c>
      <c r="F66" s="280">
        <v>0.38</v>
      </c>
      <c r="G66" s="242"/>
      <c r="H66" s="281"/>
      <c r="I66" s="282"/>
      <c r="J66" s="118"/>
      <c r="K66" s="236"/>
      <c r="L66" s="226">
        <v>6.4</v>
      </c>
      <c r="M66" s="360">
        <f>67.3846153846154/1000</f>
        <v>6.7384615384615404E-2</v>
      </c>
      <c r="N66" s="360">
        <f>67.3846153846154/1000</f>
        <v>6.7384615384615404E-2</v>
      </c>
      <c r="O66" s="374">
        <f>67.3846153846154/1000</f>
        <v>6.7384615384615404E-2</v>
      </c>
      <c r="P66" s="382">
        <v>30</v>
      </c>
      <c r="Q66" s="300">
        <v>0</v>
      </c>
      <c r="R66" s="286">
        <v>0</v>
      </c>
      <c r="S66" s="385"/>
      <c r="T66" s="235">
        <v>40</v>
      </c>
      <c r="U66" s="226">
        <v>40</v>
      </c>
      <c r="V66" s="178">
        <v>0.7</v>
      </c>
      <c r="W66" s="512">
        <v>1.6</v>
      </c>
      <c r="X66" s="512">
        <v>1.6</v>
      </c>
      <c r="Y66" s="512">
        <v>1.6</v>
      </c>
      <c r="Z66" s="364">
        <v>5</v>
      </c>
      <c r="AA66" s="364">
        <v>5</v>
      </c>
      <c r="AB66" s="364">
        <f>IF('Berechnung Nährstoffe und Lager'!$X$5&lt;3,Z66,AA66)</f>
        <v>5</v>
      </c>
      <c r="AC66" s="364">
        <v>50</v>
      </c>
      <c r="AD66" s="181">
        <v>90</v>
      </c>
      <c r="AE66" s="181">
        <v>45</v>
      </c>
      <c r="AG66" s="1549">
        <v>0.74</v>
      </c>
      <c r="AH66" s="181">
        <v>500</v>
      </c>
      <c r="AI66" s="181">
        <v>58</v>
      </c>
      <c r="AJ66" s="1549">
        <v>0.75</v>
      </c>
      <c r="AK66" s="181">
        <v>500</v>
      </c>
      <c r="AL66" s="181">
        <v>55</v>
      </c>
      <c r="AM66" s="181">
        <v>40</v>
      </c>
      <c r="AN66" s="181">
        <v>100</v>
      </c>
    </row>
    <row r="67" spans="1:40" x14ac:dyDescent="0.2">
      <c r="A67" s="56"/>
      <c r="B67" s="60" t="s">
        <v>81</v>
      </c>
      <c r="C67" s="279">
        <v>4.0000000000000001E-3</v>
      </c>
      <c r="D67" s="264">
        <v>0.63</v>
      </c>
      <c r="E67" s="261">
        <v>0.4</v>
      </c>
      <c r="F67" s="280">
        <v>0.31</v>
      </c>
      <c r="G67" s="242"/>
      <c r="H67" s="281"/>
      <c r="I67" s="282"/>
      <c r="J67" s="118"/>
      <c r="K67" s="236"/>
      <c r="L67" s="226">
        <v>6</v>
      </c>
      <c r="M67" s="360">
        <f>49.9702380952381/1000</f>
        <v>4.9970238095238102E-2</v>
      </c>
      <c r="N67" s="360">
        <f>49.9702380952381/1000</f>
        <v>4.9970238095238102E-2</v>
      </c>
      <c r="O67" s="374">
        <f>49.9702380952381/1000</f>
        <v>4.9970238095238102E-2</v>
      </c>
      <c r="P67" s="382">
        <v>30</v>
      </c>
      <c r="Q67" s="300">
        <v>0</v>
      </c>
      <c r="R67" s="286">
        <v>0</v>
      </c>
      <c r="S67" s="385"/>
      <c r="T67" s="235">
        <v>40</v>
      </c>
      <c r="U67" s="226">
        <v>40</v>
      </c>
      <c r="V67" s="178">
        <v>0.7</v>
      </c>
      <c r="W67" s="359">
        <v>1.49</v>
      </c>
      <c r="X67" s="359">
        <v>1.49</v>
      </c>
      <c r="Y67" s="359">
        <v>1.49</v>
      </c>
      <c r="Z67" s="364">
        <v>5</v>
      </c>
      <c r="AA67" s="364">
        <v>5</v>
      </c>
      <c r="AB67" s="364">
        <f>IF('Berechnung Nährstoffe und Lager'!$X$5&lt;3,Z67,AA67)</f>
        <v>5</v>
      </c>
      <c r="AC67" s="364">
        <v>50</v>
      </c>
      <c r="AD67" s="181">
        <v>90</v>
      </c>
      <c r="AE67" s="181">
        <v>45</v>
      </c>
      <c r="AG67" s="1549">
        <v>0.74</v>
      </c>
      <c r="AH67" s="181">
        <v>500</v>
      </c>
      <c r="AI67" s="181">
        <v>58</v>
      </c>
      <c r="AJ67" s="1549">
        <v>0.75</v>
      </c>
      <c r="AK67" s="181">
        <v>500</v>
      </c>
      <c r="AL67" s="181">
        <v>55</v>
      </c>
      <c r="AM67" s="181">
        <v>40</v>
      </c>
      <c r="AN67" s="181">
        <v>100</v>
      </c>
    </row>
    <row r="68" spans="1:40" x14ac:dyDescent="0.2">
      <c r="A68" s="61"/>
      <c r="B68" s="51" t="s">
        <v>82</v>
      </c>
      <c r="C68" s="279">
        <v>3.0000000000000001E-3</v>
      </c>
      <c r="D68" s="264">
        <v>0.64</v>
      </c>
      <c r="E68" s="261">
        <v>0.28000000000000003</v>
      </c>
      <c r="F68" s="280">
        <v>0.21</v>
      </c>
      <c r="G68" s="242"/>
      <c r="H68" s="281"/>
      <c r="I68" s="282"/>
      <c r="J68" s="118"/>
      <c r="K68" s="236"/>
      <c r="L68" s="226">
        <v>1</v>
      </c>
      <c r="M68" s="292">
        <f>9.4/1000</f>
        <v>9.4000000000000004E-3</v>
      </c>
      <c r="N68" s="292">
        <f>9.4/1000</f>
        <v>9.4000000000000004E-3</v>
      </c>
      <c r="O68" s="378">
        <f>9.4/1000</f>
        <v>9.4000000000000004E-3</v>
      </c>
      <c r="P68" s="382">
        <v>30</v>
      </c>
      <c r="Q68" s="300">
        <v>0</v>
      </c>
      <c r="R68" s="286">
        <v>0</v>
      </c>
      <c r="S68" s="385"/>
      <c r="T68" s="235">
        <v>40</v>
      </c>
      <c r="U68" s="226">
        <v>40</v>
      </c>
      <c r="V68" s="178">
        <v>0.7</v>
      </c>
      <c r="W68" s="362">
        <v>0.33</v>
      </c>
      <c r="X68" s="362">
        <v>0.33</v>
      </c>
      <c r="Y68" s="362">
        <v>0.33</v>
      </c>
      <c r="Z68" s="364">
        <v>5</v>
      </c>
      <c r="AA68" s="364">
        <v>5</v>
      </c>
      <c r="AB68" s="364">
        <f>IF('Berechnung Nährstoffe und Lager'!$X$5&lt;3,Z68,AA68)</f>
        <v>5</v>
      </c>
      <c r="AC68" s="364">
        <v>50</v>
      </c>
      <c r="AD68" s="181">
        <v>90</v>
      </c>
      <c r="AE68" s="181">
        <v>45</v>
      </c>
      <c r="AG68" s="1549">
        <v>0.74</v>
      </c>
      <c r="AH68" s="181">
        <v>500</v>
      </c>
      <c r="AI68" s="181">
        <v>58</v>
      </c>
      <c r="AJ68" s="1549">
        <v>0.75</v>
      </c>
      <c r="AK68" s="181">
        <v>500</v>
      </c>
      <c r="AL68" s="181">
        <v>55</v>
      </c>
      <c r="AM68" s="181">
        <v>40</v>
      </c>
      <c r="AN68" s="181">
        <v>100</v>
      </c>
    </row>
    <row r="69" spans="1:40" x14ac:dyDescent="0.2">
      <c r="A69" s="56"/>
      <c r="B69" s="51" t="s">
        <v>516</v>
      </c>
      <c r="C69" s="218">
        <v>0.1</v>
      </c>
      <c r="D69" s="235">
        <v>5.9</v>
      </c>
      <c r="E69" s="220">
        <v>1.9</v>
      </c>
      <c r="F69" s="221">
        <v>6.5</v>
      </c>
      <c r="G69" s="242"/>
      <c r="H69" s="281"/>
      <c r="I69" s="282"/>
      <c r="J69" s="118"/>
      <c r="K69" s="236"/>
      <c r="L69" s="226">
        <v>0.2</v>
      </c>
      <c r="M69" s="226">
        <v>0.4</v>
      </c>
      <c r="N69" s="226">
        <v>0.4</v>
      </c>
      <c r="O69" s="222">
        <v>0.4</v>
      </c>
      <c r="P69" s="382">
        <v>30</v>
      </c>
      <c r="Q69" s="300">
        <v>0</v>
      </c>
      <c r="R69" s="286">
        <v>0</v>
      </c>
      <c r="S69" s="385"/>
      <c r="T69" s="235">
        <v>45</v>
      </c>
      <c r="U69" s="226">
        <v>45</v>
      </c>
      <c r="V69" s="178">
        <v>0.9</v>
      </c>
      <c r="W69" s="359">
        <v>4</v>
      </c>
      <c r="X69" s="358">
        <v>4</v>
      </c>
      <c r="Y69" s="357">
        <v>4</v>
      </c>
      <c r="Z69" s="364">
        <v>1</v>
      </c>
      <c r="AA69" s="364">
        <v>2</v>
      </c>
      <c r="AB69" s="364">
        <f>IF('Berechnung Nährstoffe und Lager'!$X$5&lt;3,Z69,AA69)</f>
        <v>1</v>
      </c>
      <c r="AC69" s="364">
        <v>50</v>
      </c>
      <c r="AD69" s="181">
        <v>90</v>
      </c>
      <c r="AE69" s="181">
        <v>10</v>
      </c>
      <c r="AG69" s="1549">
        <v>0.8</v>
      </c>
      <c r="AH69" s="181">
        <v>450</v>
      </c>
      <c r="AI69" s="181">
        <v>55</v>
      </c>
      <c r="AJ69" s="1549">
        <v>0.8</v>
      </c>
      <c r="AK69" s="181">
        <v>450</v>
      </c>
      <c r="AL69" s="181">
        <v>55</v>
      </c>
      <c r="AM69" s="181">
        <v>40</v>
      </c>
      <c r="AN69" s="181">
        <v>100</v>
      </c>
    </row>
    <row r="70" spans="1:40" x14ac:dyDescent="0.2">
      <c r="A70" s="56"/>
      <c r="B70" s="51" t="s">
        <v>517</v>
      </c>
      <c r="C70" s="218">
        <v>0.1</v>
      </c>
      <c r="D70" s="235">
        <v>14.2</v>
      </c>
      <c r="E70" s="220">
        <v>4.3</v>
      </c>
      <c r="F70" s="221">
        <v>15.5</v>
      </c>
      <c r="G70" s="242"/>
      <c r="H70" s="281"/>
      <c r="I70" s="282"/>
      <c r="J70" s="118"/>
      <c r="K70" s="236"/>
      <c r="L70" s="226">
        <v>0.4</v>
      </c>
      <c r="M70" s="226">
        <v>1.1000000000000001</v>
      </c>
      <c r="N70" s="226">
        <v>1.1000000000000001</v>
      </c>
      <c r="O70" s="222">
        <v>1.1000000000000001</v>
      </c>
      <c r="P70" s="382">
        <v>30</v>
      </c>
      <c r="Q70" s="300">
        <v>0</v>
      </c>
      <c r="R70" s="286">
        <v>0</v>
      </c>
      <c r="S70" s="385"/>
      <c r="T70" s="235">
        <v>45</v>
      </c>
      <c r="U70" s="226">
        <v>45</v>
      </c>
      <c r="V70" s="178">
        <v>0.9</v>
      </c>
      <c r="W70" s="359">
        <v>4</v>
      </c>
      <c r="X70" s="358">
        <v>4</v>
      </c>
      <c r="Y70" s="357">
        <v>4</v>
      </c>
      <c r="Z70" s="364">
        <v>1</v>
      </c>
      <c r="AA70" s="364">
        <v>2</v>
      </c>
      <c r="AB70" s="364">
        <f>IF('Berechnung Nährstoffe und Lager'!$X$5&lt;3,Z70,AA70)</f>
        <v>1</v>
      </c>
      <c r="AC70" s="364">
        <v>50</v>
      </c>
      <c r="AD70" s="181">
        <v>90</v>
      </c>
      <c r="AE70" s="181">
        <v>10</v>
      </c>
      <c r="AG70" s="1549">
        <v>0.8</v>
      </c>
      <c r="AH70" s="181">
        <v>450</v>
      </c>
      <c r="AI70" s="181">
        <v>55</v>
      </c>
      <c r="AJ70" s="1549">
        <v>0.8</v>
      </c>
      <c r="AK70" s="181">
        <v>450</v>
      </c>
      <c r="AL70" s="181">
        <v>55</v>
      </c>
      <c r="AM70" s="181">
        <v>40</v>
      </c>
      <c r="AN70" s="181">
        <v>100</v>
      </c>
    </row>
    <row r="71" spans="1:40" x14ac:dyDescent="0.2">
      <c r="A71" s="56"/>
      <c r="B71" s="60" t="s">
        <v>85</v>
      </c>
      <c r="C71" s="218">
        <v>0.1</v>
      </c>
      <c r="D71" s="258">
        <v>15.2</v>
      </c>
      <c r="E71" s="220">
        <v>5.7</v>
      </c>
      <c r="F71" s="221">
        <v>18</v>
      </c>
      <c r="G71" s="242"/>
      <c r="H71" s="281"/>
      <c r="I71" s="282"/>
      <c r="J71" s="118"/>
      <c r="K71" s="236"/>
      <c r="L71" s="226">
        <v>0.6</v>
      </c>
      <c r="M71" s="52">
        <v>1</v>
      </c>
      <c r="N71" s="52">
        <v>1</v>
      </c>
      <c r="O71" s="332">
        <v>1</v>
      </c>
      <c r="P71" s="382">
        <v>30</v>
      </c>
      <c r="Q71" s="300">
        <v>0</v>
      </c>
      <c r="R71" s="286">
        <v>0</v>
      </c>
      <c r="S71" s="385"/>
      <c r="T71" s="235">
        <v>45</v>
      </c>
      <c r="U71" s="226">
        <v>45</v>
      </c>
      <c r="V71" s="178">
        <v>0.9</v>
      </c>
      <c r="W71" s="336">
        <v>6</v>
      </c>
      <c r="X71" s="337">
        <v>6</v>
      </c>
      <c r="Y71" s="338">
        <v>6</v>
      </c>
      <c r="Z71" s="364">
        <v>1</v>
      </c>
      <c r="AA71" s="364">
        <v>2</v>
      </c>
      <c r="AB71" s="364">
        <f>IF('Berechnung Nährstoffe und Lager'!$X$5&lt;3,Z71,AA71)</f>
        <v>1</v>
      </c>
      <c r="AC71" s="364">
        <v>50</v>
      </c>
      <c r="AD71" s="181">
        <v>90</v>
      </c>
      <c r="AE71" s="181">
        <v>10</v>
      </c>
      <c r="AG71" s="1549">
        <v>0.8</v>
      </c>
      <c r="AH71" s="181">
        <v>450</v>
      </c>
      <c r="AI71" s="181">
        <v>55</v>
      </c>
      <c r="AJ71" s="1549">
        <v>0.8</v>
      </c>
      <c r="AK71" s="181">
        <v>450</v>
      </c>
      <c r="AL71" s="181">
        <v>55</v>
      </c>
      <c r="AM71" s="181">
        <v>40</v>
      </c>
      <c r="AN71" s="181">
        <v>100</v>
      </c>
    </row>
    <row r="72" spans="1:40" x14ac:dyDescent="0.2">
      <c r="A72" s="56"/>
      <c r="B72" s="60" t="s">
        <v>86</v>
      </c>
      <c r="C72" s="218">
        <v>0.7</v>
      </c>
      <c r="D72" s="258">
        <v>33.4</v>
      </c>
      <c r="E72" s="220">
        <v>15.3</v>
      </c>
      <c r="F72" s="221">
        <v>51</v>
      </c>
      <c r="G72" s="242"/>
      <c r="H72" s="281"/>
      <c r="I72" s="282"/>
      <c r="J72" s="118"/>
      <c r="K72" s="236"/>
      <c r="L72" s="226">
        <v>4</v>
      </c>
      <c r="M72" s="52">
        <v>6.8</v>
      </c>
      <c r="N72" s="52">
        <v>6.8</v>
      </c>
      <c r="O72" s="332">
        <v>6.8</v>
      </c>
      <c r="P72" s="382">
        <v>30</v>
      </c>
      <c r="Q72" s="300">
        <v>0</v>
      </c>
      <c r="R72" s="286">
        <v>0</v>
      </c>
      <c r="S72" s="385"/>
      <c r="T72" s="235">
        <v>45</v>
      </c>
      <c r="U72" s="226">
        <v>45</v>
      </c>
      <c r="V72" s="178">
        <v>0.7</v>
      </c>
      <c r="W72" s="513">
        <v>5.7</v>
      </c>
      <c r="X72" s="514">
        <v>5.7</v>
      </c>
      <c r="Y72" s="515">
        <v>5.7</v>
      </c>
      <c r="Z72" s="364">
        <v>1</v>
      </c>
      <c r="AA72" s="364">
        <v>2</v>
      </c>
      <c r="AB72" s="364">
        <f>IF('Berechnung Nährstoffe und Lager'!$X$5&lt;3,Z72,AA72)</f>
        <v>1</v>
      </c>
      <c r="AC72" s="364">
        <v>50</v>
      </c>
      <c r="AD72" s="181">
        <v>90</v>
      </c>
      <c r="AE72" s="181">
        <v>10</v>
      </c>
      <c r="AG72" s="1549">
        <v>0.75</v>
      </c>
      <c r="AH72" s="181">
        <v>300</v>
      </c>
      <c r="AI72" s="181">
        <v>55</v>
      </c>
      <c r="AJ72" s="1549">
        <v>0.75</v>
      </c>
      <c r="AK72" s="181">
        <v>300</v>
      </c>
      <c r="AL72" s="181">
        <v>55</v>
      </c>
      <c r="AM72" s="181">
        <v>40</v>
      </c>
      <c r="AN72" s="181">
        <v>100</v>
      </c>
    </row>
    <row r="73" spans="1:40" x14ac:dyDescent="0.2">
      <c r="A73" s="56"/>
      <c r="B73" s="60" t="s">
        <v>87</v>
      </c>
      <c r="C73" s="218">
        <v>0.7</v>
      </c>
      <c r="D73" s="258">
        <v>53.6</v>
      </c>
      <c r="E73" s="220">
        <v>23.4</v>
      </c>
      <c r="F73" s="221">
        <v>67</v>
      </c>
      <c r="G73" s="242"/>
      <c r="H73" s="281"/>
      <c r="I73" s="282"/>
      <c r="J73" s="118"/>
      <c r="K73" s="236"/>
      <c r="L73" s="226">
        <v>6</v>
      </c>
      <c r="M73" s="52">
        <v>11.2</v>
      </c>
      <c r="N73" s="52">
        <v>11.2</v>
      </c>
      <c r="O73" s="332">
        <v>11.2</v>
      </c>
      <c r="P73" s="382">
        <v>30</v>
      </c>
      <c r="Q73" s="300">
        <v>0</v>
      </c>
      <c r="R73" s="286">
        <v>0</v>
      </c>
      <c r="S73" s="385"/>
      <c r="T73" s="235">
        <v>45</v>
      </c>
      <c r="U73" s="226">
        <v>45</v>
      </c>
      <c r="V73" s="178">
        <v>0.7</v>
      </c>
      <c r="W73" s="513">
        <v>8.6</v>
      </c>
      <c r="X73" s="514">
        <v>8.6</v>
      </c>
      <c r="Y73" s="515">
        <v>8.6</v>
      </c>
      <c r="Z73" s="364">
        <v>1</v>
      </c>
      <c r="AA73" s="364">
        <v>2</v>
      </c>
      <c r="AB73" s="364">
        <f>IF('Berechnung Nährstoffe und Lager'!$X$5&lt;3,Z73,AA73)</f>
        <v>1</v>
      </c>
      <c r="AC73" s="364">
        <v>50</v>
      </c>
      <c r="AD73" s="181">
        <v>90</v>
      </c>
      <c r="AE73" s="181">
        <v>10</v>
      </c>
      <c r="AG73" s="1549">
        <v>0.75</v>
      </c>
      <c r="AH73" s="181">
        <v>300</v>
      </c>
      <c r="AI73" s="181">
        <v>55</v>
      </c>
      <c r="AJ73" s="1549">
        <v>0.75</v>
      </c>
      <c r="AK73" s="181">
        <v>300</v>
      </c>
      <c r="AL73" s="181">
        <v>55</v>
      </c>
      <c r="AM73" s="181">
        <v>40</v>
      </c>
      <c r="AN73" s="181">
        <v>100</v>
      </c>
    </row>
    <row r="74" spans="1:40" x14ac:dyDescent="0.2">
      <c r="A74" s="56"/>
      <c r="B74" s="51" t="s">
        <v>88</v>
      </c>
      <c r="C74" s="279">
        <v>3.0000000000000001E-3</v>
      </c>
      <c r="D74" s="235">
        <v>9.6999999999999993</v>
      </c>
      <c r="E74" s="220">
        <v>5.4</v>
      </c>
      <c r="F74" s="221">
        <v>8.3000000000000007</v>
      </c>
      <c r="G74" s="242"/>
      <c r="H74" s="281"/>
      <c r="I74" s="282"/>
      <c r="J74" s="219"/>
      <c r="K74" s="218"/>
      <c r="L74" s="226">
        <v>0.3</v>
      </c>
      <c r="M74" s="52">
        <v>0.8</v>
      </c>
      <c r="N74" s="52">
        <v>0.8</v>
      </c>
      <c r="O74" s="332">
        <v>0.8</v>
      </c>
      <c r="P74" s="382">
        <v>30</v>
      </c>
      <c r="Q74" s="300">
        <v>0</v>
      </c>
      <c r="R74" s="286">
        <v>0</v>
      </c>
      <c r="S74" s="385"/>
      <c r="T74" s="235">
        <v>45</v>
      </c>
      <c r="U74" s="226">
        <v>45</v>
      </c>
      <c r="V74" s="178">
        <v>0.9</v>
      </c>
      <c r="W74" s="513">
        <v>106.7</v>
      </c>
      <c r="X74" s="514">
        <v>106.7</v>
      </c>
      <c r="Y74" s="515">
        <v>106.7</v>
      </c>
      <c r="Z74" s="364">
        <v>5</v>
      </c>
      <c r="AA74" s="364">
        <v>5</v>
      </c>
      <c r="AB74" s="364">
        <f>IF('Berechnung Nährstoffe und Lager'!$X$5&lt;3,Z74,AA74)</f>
        <v>5</v>
      </c>
      <c r="AC74" s="364">
        <v>50</v>
      </c>
      <c r="AD74" s="181">
        <v>90</v>
      </c>
      <c r="AE74" s="181">
        <v>10</v>
      </c>
      <c r="AG74" s="1549">
        <v>0.8</v>
      </c>
      <c r="AH74" s="181">
        <v>450</v>
      </c>
      <c r="AI74" s="181">
        <v>55</v>
      </c>
      <c r="AJ74" s="1549">
        <v>0.8</v>
      </c>
      <c r="AK74" s="181">
        <v>450</v>
      </c>
      <c r="AL74" s="181">
        <v>55</v>
      </c>
      <c r="AM74" s="181">
        <v>40</v>
      </c>
      <c r="AN74" s="181">
        <v>100</v>
      </c>
    </row>
    <row r="75" spans="1:40" x14ac:dyDescent="0.2">
      <c r="A75" s="62"/>
      <c r="B75" s="51" t="s">
        <v>89</v>
      </c>
      <c r="C75" s="260">
        <v>0.15</v>
      </c>
      <c r="D75" s="235">
        <v>15.8</v>
      </c>
      <c r="E75" s="220">
        <v>4.5</v>
      </c>
      <c r="F75" s="221">
        <v>17.600000000000001</v>
      </c>
      <c r="G75" s="242"/>
      <c r="H75" s="281"/>
      <c r="I75" s="282"/>
      <c r="J75" s="118"/>
      <c r="K75" s="236"/>
      <c r="L75" s="226"/>
      <c r="M75" s="289"/>
      <c r="N75" s="284"/>
      <c r="O75" s="332"/>
      <c r="P75" s="382"/>
      <c r="Q75" s="300">
        <v>0</v>
      </c>
      <c r="R75" s="286">
        <v>0</v>
      </c>
      <c r="S75" s="385"/>
      <c r="T75" s="235">
        <v>45</v>
      </c>
      <c r="U75" s="226">
        <v>45</v>
      </c>
      <c r="V75" s="178">
        <v>0.9</v>
      </c>
      <c r="W75" s="339"/>
      <c r="X75" s="331"/>
      <c r="Y75" s="340"/>
      <c r="Z75" s="364">
        <v>1</v>
      </c>
      <c r="AA75" s="364">
        <v>2</v>
      </c>
      <c r="AB75" s="364">
        <f>IF('Berechnung Nährstoffe und Lager'!$X$5&lt;3,Z75,AA75)</f>
        <v>1</v>
      </c>
      <c r="AC75" s="364">
        <v>50</v>
      </c>
      <c r="AD75" s="181">
        <v>90</v>
      </c>
      <c r="AE75" s="181">
        <v>10</v>
      </c>
      <c r="AG75" s="1549">
        <v>0.8</v>
      </c>
      <c r="AH75" s="181">
        <v>450</v>
      </c>
      <c r="AI75" s="181">
        <v>55</v>
      </c>
      <c r="AJ75" s="1549">
        <v>0.8</v>
      </c>
      <c r="AK75" s="181">
        <v>450</v>
      </c>
      <c r="AL75" s="181">
        <v>55</v>
      </c>
      <c r="AM75" s="181">
        <v>40</v>
      </c>
      <c r="AN75" s="181">
        <v>100</v>
      </c>
    </row>
    <row r="76" spans="1:40" x14ac:dyDescent="0.2">
      <c r="A76" s="62"/>
      <c r="B76" s="51" t="s">
        <v>90</v>
      </c>
      <c r="C76" s="260">
        <v>0.05</v>
      </c>
      <c r="D76" s="235">
        <v>5.8</v>
      </c>
      <c r="E76" s="220">
        <v>1.7</v>
      </c>
      <c r="F76" s="221">
        <v>6.4</v>
      </c>
      <c r="G76" s="242"/>
      <c r="H76" s="281"/>
      <c r="I76" s="301"/>
      <c r="J76" s="118"/>
      <c r="K76" s="236"/>
      <c r="L76" s="226"/>
      <c r="M76" s="289"/>
      <c r="N76" s="284"/>
      <c r="O76" s="332"/>
      <c r="P76" s="382"/>
      <c r="Q76" s="300"/>
      <c r="R76" s="286"/>
      <c r="S76" s="385"/>
      <c r="T76" s="235">
        <v>45</v>
      </c>
      <c r="U76" s="226">
        <v>45</v>
      </c>
      <c r="V76" s="178">
        <v>0.9</v>
      </c>
      <c r="W76" s="339"/>
      <c r="X76" s="331"/>
      <c r="Y76" s="340"/>
      <c r="Z76" s="364">
        <v>1</v>
      </c>
      <c r="AA76" s="364">
        <v>2</v>
      </c>
      <c r="AB76" s="364">
        <f>IF('Berechnung Nährstoffe und Lager'!$X$5&lt;3,Z76,AA76)</f>
        <v>1</v>
      </c>
      <c r="AC76" s="364">
        <v>50</v>
      </c>
      <c r="AD76" s="181">
        <v>90</v>
      </c>
      <c r="AE76" s="181">
        <v>10</v>
      </c>
      <c r="AG76" s="1549">
        <v>0.8</v>
      </c>
      <c r="AH76" s="181">
        <v>450</v>
      </c>
      <c r="AI76" s="181">
        <v>55</v>
      </c>
      <c r="AJ76" s="1549">
        <v>0.8</v>
      </c>
      <c r="AK76" s="181">
        <v>450</v>
      </c>
      <c r="AL76" s="181">
        <v>55</v>
      </c>
      <c r="AM76" s="181">
        <v>40</v>
      </c>
      <c r="AN76" s="181">
        <v>100</v>
      </c>
    </row>
    <row r="77" spans="1:40" x14ac:dyDescent="0.2">
      <c r="A77" s="61"/>
      <c r="B77" s="51" t="s">
        <v>91</v>
      </c>
      <c r="C77" s="218">
        <v>0.3</v>
      </c>
      <c r="D77" s="235">
        <v>22.7</v>
      </c>
      <c r="E77" s="220">
        <v>7.2</v>
      </c>
      <c r="F77" s="221">
        <v>27</v>
      </c>
      <c r="G77" s="242"/>
      <c r="H77" s="281"/>
      <c r="I77" s="282"/>
      <c r="J77" s="118"/>
      <c r="K77" s="236"/>
      <c r="L77" s="226"/>
      <c r="M77" s="289"/>
      <c r="N77" s="284"/>
      <c r="O77" s="332"/>
      <c r="P77" s="382"/>
      <c r="Q77" s="300">
        <v>0</v>
      </c>
      <c r="R77" s="286">
        <v>0</v>
      </c>
      <c r="S77" s="385"/>
      <c r="T77" s="235">
        <v>45</v>
      </c>
      <c r="U77" s="226">
        <v>45</v>
      </c>
      <c r="V77" s="178">
        <v>0.9</v>
      </c>
      <c r="W77" s="339"/>
      <c r="X77" s="331"/>
      <c r="Y77" s="340"/>
      <c r="Z77" s="364">
        <v>1</v>
      </c>
      <c r="AA77" s="364">
        <v>2</v>
      </c>
      <c r="AB77" s="364">
        <f>IF('Berechnung Nährstoffe und Lager'!$X$5&lt;3,Z77,AA77)</f>
        <v>1</v>
      </c>
      <c r="AC77" s="364">
        <v>50</v>
      </c>
      <c r="AD77" s="181">
        <v>90</v>
      </c>
      <c r="AE77" s="181">
        <v>10</v>
      </c>
      <c r="AG77" s="1549">
        <v>0.8</v>
      </c>
      <c r="AH77" s="181">
        <v>450</v>
      </c>
      <c r="AI77" s="181">
        <v>55</v>
      </c>
      <c r="AJ77" s="1549">
        <v>0.8</v>
      </c>
      <c r="AK77" s="181">
        <v>450</v>
      </c>
      <c r="AL77" s="181">
        <v>55</v>
      </c>
      <c r="AM77" s="181">
        <v>40</v>
      </c>
      <c r="AN77" s="181">
        <v>100</v>
      </c>
    </row>
    <row r="78" spans="1:40" x14ac:dyDescent="0.2">
      <c r="A78" s="61"/>
      <c r="B78" s="51" t="s">
        <v>92</v>
      </c>
      <c r="C78" s="260">
        <v>0.1</v>
      </c>
      <c r="D78" s="235">
        <v>8.3000000000000007</v>
      </c>
      <c r="E78" s="220">
        <v>2.7</v>
      </c>
      <c r="F78" s="221">
        <v>9.9</v>
      </c>
      <c r="G78" s="242"/>
      <c r="H78" s="281"/>
      <c r="I78" s="301"/>
      <c r="J78" s="118"/>
      <c r="K78" s="236"/>
      <c r="L78" s="226"/>
      <c r="M78" s="289"/>
      <c r="N78" s="284"/>
      <c r="O78" s="332"/>
      <c r="P78" s="382"/>
      <c r="Q78" s="300"/>
      <c r="R78" s="286"/>
      <c r="S78" s="385"/>
      <c r="T78" s="235">
        <v>45</v>
      </c>
      <c r="U78" s="226">
        <v>45</v>
      </c>
      <c r="V78" s="178">
        <v>0.9</v>
      </c>
      <c r="W78" s="339"/>
      <c r="X78" s="331"/>
      <c r="Y78" s="340"/>
      <c r="Z78" s="364">
        <v>1</v>
      </c>
      <c r="AA78" s="364">
        <v>2</v>
      </c>
      <c r="AB78" s="364">
        <f>IF('Berechnung Nährstoffe und Lager'!$X$5&lt;3,Z78,AA78)</f>
        <v>1</v>
      </c>
      <c r="AC78" s="364">
        <v>50</v>
      </c>
      <c r="AD78" s="181">
        <v>90</v>
      </c>
      <c r="AE78" s="181">
        <v>10</v>
      </c>
      <c r="AG78" s="1549">
        <v>0.8</v>
      </c>
      <c r="AH78" s="181">
        <v>450</v>
      </c>
      <c r="AI78" s="181">
        <v>55</v>
      </c>
      <c r="AJ78" s="1549">
        <v>0.8</v>
      </c>
      <c r="AK78" s="181">
        <v>450</v>
      </c>
      <c r="AL78" s="181">
        <v>55</v>
      </c>
      <c r="AM78" s="181">
        <v>40</v>
      </c>
      <c r="AN78" s="181">
        <v>100</v>
      </c>
    </row>
    <row r="79" spans="1:40" ht="13.5" thickBot="1" x14ac:dyDescent="0.25">
      <c r="A79" s="63"/>
      <c r="B79" s="49" t="s">
        <v>93</v>
      </c>
      <c r="C79" s="196">
        <v>0.3</v>
      </c>
      <c r="D79" s="302">
        <v>22.7</v>
      </c>
      <c r="E79" s="303">
        <v>7.2</v>
      </c>
      <c r="F79" s="304">
        <v>27</v>
      </c>
      <c r="G79" s="305"/>
      <c r="H79" s="306"/>
      <c r="I79" s="307"/>
      <c r="J79" s="207"/>
      <c r="K79" s="308"/>
      <c r="L79" s="373">
        <v>2</v>
      </c>
      <c r="M79" s="311">
        <v>3.4</v>
      </c>
      <c r="N79" s="311">
        <v>3.4</v>
      </c>
      <c r="O79" s="379">
        <v>3.4</v>
      </c>
      <c r="P79" s="382">
        <v>30</v>
      </c>
      <c r="Q79" s="312">
        <v>0</v>
      </c>
      <c r="R79" s="313">
        <v>0</v>
      </c>
      <c r="S79" s="386"/>
      <c r="T79" s="302">
        <v>45</v>
      </c>
      <c r="U79" s="311">
        <v>45</v>
      </c>
      <c r="V79" s="178">
        <v>0.9</v>
      </c>
      <c r="W79" s="354">
        <v>6.7</v>
      </c>
      <c r="X79" s="355">
        <v>6.7</v>
      </c>
      <c r="Y79" s="356">
        <v>6.7</v>
      </c>
      <c r="Z79" s="364">
        <v>1</v>
      </c>
      <c r="AA79" s="364">
        <v>2</v>
      </c>
      <c r="AB79" s="364">
        <f>IF('Berechnung Nährstoffe und Lager'!$X$5&lt;3,Z79,AA79)</f>
        <v>1</v>
      </c>
      <c r="AC79" s="364">
        <v>50</v>
      </c>
      <c r="AD79" s="181">
        <v>90</v>
      </c>
      <c r="AE79" s="181">
        <v>10</v>
      </c>
      <c r="AG79" s="1549">
        <v>0.8</v>
      </c>
      <c r="AH79" s="181">
        <v>450</v>
      </c>
      <c r="AI79" s="181">
        <v>55</v>
      </c>
      <c r="AJ79" s="1549">
        <v>0.8</v>
      </c>
      <c r="AK79" s="181">
        <v>450</v>
      </c>
      <c r="AL79" s="181">
        <v>55</v>
      </c>
      <c r="AM79" s="181">
        <v>40</v>
      </c>
      <c r="AN79" s="181">
        <v>100</v>
      </c>
    </row>
    <row r="81" spans="4:10" x14ac:dyDescent="0.2">
      <c r="G81" s="179" t="s">
        <v>507</v>
      </c>
      <c r="I81" s="1309" t="s">
        <v>902</v>
      </c>
    </row>
    <row r="82" spans="4:10" x14ac:dyDescent="0.2">
      <c r="F82" s="178" t="s">
        <v>0</v>
      </c>
      <c r="G82" s="179" t="s">
        <v>11</v>
      </c>
      <c r="H82" s="178" t="s">
        <v>13</v>
      </c>
      <c r="I82" s="178" t="s">
        <v>0</v>
      </c>
      <c r="J82" s="178" t="s">
        <v>13</v>
      </c>
    </row>
    <row r="83" spans="4:10" x14ac:dyDescent="0.2">
      <c r="D83" s="65" t="s">
        <v>23</v>
      </c>
    </row>
    <row r="84" spans="4:10" x14ac:dyDescent="0.2">
      <c r="D84" s="66" t="s">
        <v>50</v>
      </c>
      <c r="F84" s="178">
        <v>50</v>
      </c>
      <c r="G84" s="179">
        <v>90</v>
      </c>
      <c r="H84" s="178">
        <v>10</v>
      </c>
      <c r="I84" s="178">
        <v>40</v>
      </c>
      <c r="J84" s="178">
        <v>100</v>
      </c>
    </row>
    <row r="85" spans="4:10" x14ac:dyDescent="0.2">
      <c r="D85" s="66" t="s">
        <v>94</v>
      </c>
      <c r="F85" s="178">
        <v>60</v>
      </c>
      <c r="G85" s="179">
        <v>90</v>
      </c>
      <c r="H85" s="178">
        <v>10</v>
      </c>
      <c r="I85" s="178">
        <v>40</v>
      </c>
      <c r="J85" s="178">
        <v>100</v>
      </c>
    </row>
    <row r="86" spans="4:10" x14ac:dyDescent="0.2">
      <c r="D86" s="66" t="s">
        <v>95</v>
      </c>
      <c r="F86" s="178">
        <v>50</v>
      </c>
      <c r="G86" s="179">
        <v>90</v>
      </c>
      <c r="H86" s="178">
        <v>45</v>
      </c>
      <c r="I86" s="178">
        <v>40</v>
      </c>
      <c r="J86" s="178">
        <v>100</v>
      </c>
    </row>
    <row r="87" spans="4:10" x14ac:dyDescent="0.2">
      <c r="D87" s="64" t="s">
        <v>96</v>
      </c>
      <c r="F87" s="178">
        <v>50</v>
      </c>
      <c r="G87" s="179">
        <v>90</v>
      </c>
      <c r="H87" s="178">
        <v>10</v>
      </c>
      <c r="I87" s="178">
        <v>40</v>
      </c>
      <c r="J87" s="178">
        <v>100</v>
      </c>
    </row>
    <row r="90" spans="4:10" x14ac:dyDescent="0.2">
      <c r="D90" s="178" t="s">
        <v>311</v>
      </c>
    </row>
    <row r="91" spans="4:10" x14ac:dyDescent="0.2">
      <c r="D91" s="178" t="s">
        <v>23</v>
      </c>
    </row>
    <row r="92" spans="4:10" x14ac:dyDescent="0.2">
      <c r="D92" s="178" t="s">
        <v>227</v>
      </c>
    </row>
    <row r="93" spans="4:10" x14ac:dyDescent="0.2">
      <c r="D93" s="178" t="s">
        <v>237</v>
      </c>
    </row>
    <row r="94" spans="4:10" x14ac:dyDescent="0.2">
      <c r="D94" s="178" t="s">
        <v>985</v>
      </c>
    </row>
    <row r="95" spans="4:10" x14ac:dyDescent="0.2">
      <c r="D95" s="178" t="s">
        <v>986</v>
      </c>
    </row>
  </sheetData>
  <customSheetViews>
    <customSheetView guid="{DDA6E6AA-9473-49A0-A3A2-76E4959B79AF}" scale="90" state="hidden" topLeftCell="A21">
      <selection activeCell="V71" sqref="V71"/>
      <pageMargins left="0.7" right="0.7" top="0.78740157499999996" bottom="0.78740157499999996" header="0.3" footer="0.3"/>
      <pageSetup paperSize="9" orientation="portrait" r:id="rId1"/>
    </customSheetView>
  </customSheetViews>
  <mergeCells count="13">
    <mergeCell ref="AG8:AI8"/>
    <mergeCell ref="AJ8:AL8"/>
    <mergeCell ref="AG4:AL4"/>
    <mergeCell ref="AC5:AE5"/>
    <mergeCell ref="W5:Y5"/>
    <mergeCell ref="W6:Y6"/>
    <mergeCell ref="M7:O7"/>
    <mergeCell ref="G5:J5"/>
    <mergeCell ref="M5:O5"/>
    <mergeCell ref="T5:U5"/>
    <mergeCell ref="G6:J6"/>
    <mergeCell ref="M6:O6"/>
    <mergeCell ref="T6:U6"/>
  </mergeCells>
  <pageMargins left="0.7" right="0.7" top="0.78740157499999996" bottom="0.78740157499999996"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S72"/>
  <sheetViews>
    <sheetView workbookViewId="0">
      <selection activeCell="AM60" sqref="AM60"/>
    </sheetView>
  </sheetViews>
  <sheetFormatPr baseColWidth="10" defaultRowHeight="12.75" x14ac:dyDescent="0.2"/>
  <cols>
    <col min="1" max="1" width="1" style="314" customWidth="1"/>
    <col min="2" max="2" width="49.7109375" style="314" customWidth="1"/>
    <col min="3" max="3" width="10.28515625" style="179" bestFit="1" customWidth="1"/>
    <col min="4" max="6" width="5.7109375" style="178" customWidth="1"/>
    <col min="7" max="7" width="5.7109375" style="179" customWidth="1"/>
    <col min="8" max="9" width="5.7109375" style="178" customWidth="1"/>
    <col min="10" max="10" width="11" style="178" customWidth="1"/>
    <col min="11" max="11" width="11.28515625" style="178" customWidth="1"/>
    <col min="12" max="14" width="8" style="178" customWidth="1"/>
    <col min="15" max="15" width="14.7109375" style="178" customWidth="1"/>
    <col min="16" max="16" width="13.7109375" style="178" customWidth="1"/>
    <col min="17" max="17" width="7.85546875" style="178" customWidth="1"/>
    <col min="18" max="18" width="8.7109375" style="178" customWidth="1"/>
    <col min="19" max="19" width="11.42578125" style="180" customWidth="1"/>
    <col min="20" max="16384" width="11.42578125" style="181"/>
  </cols>
  <sheetData>
    <row r="1" spans="1:19" x14ac:dyDescent="0.2">
      <c r="A1" s="176" t="s">
        <v>254</v>
      </c>
      <c r="B1" s="36"/>
      <c r="C1" s="177" t="s">
        <v>255</v>
      </c>
      <c r="E1" s="37"/>
      <c r="F1" s="40"/>
      <c r="H1" s="40"/>
      <c r="I1" s="40"/>
      <c r="J1" s="40"/>
      <c r="K1" s="40"/>
      <c r="L1" s="40"/>
      <c r="M1" s="40"/>
      <c r="N1" s="40"/>
      <c r="O1" s="40"/>
      <c r="P1" s="40"/>
      <c r="Q1" s="40"/>
      <c r="R1" s="40"/>
    </row>
    <row r="2" spans="1:19" x14ac:dyDescent="0.2">
      <c r="A2" s="41"/>
      <c r="B2" s="36"/>
      <c r="C2" s="182"/>
      <c r="D2" s="40"/>
      <c r="E2" s="40"/>
      <c r="F2" s="40"/>
      <c r="G2" s="182"/>
      <c r="H2" s="40"/>
      <c r="I2" s="40"/>
      <c r="J2" s="40"/>
      <c r="K2" s="40"/>
      <c r="L2" s="40"/>
      <c r="M2" s="40"/>
      <c r="N2" s="40"/>
      <c r="O2" s="40"/>
      <c r="P2" s="40"/>
      <c r="Q2" s="40"/>
      <c r="R2" s="40"/>
      <c r="S2" s="119"/>
    </row>
    <row r="3" spans="1:19" x14ac:dyDescent="0.2">
      <c r="A3" s="41"/>
      <c r="B3" s="36"/>
      <c r="C3" s="182"/>
      <c r="D3" s="40"/>
      <c r="E3" s="40"/>
      <c r="F3" s="40"/>
      <c r="G3" s="182"/>
      <c r="H3" s="40"/>
      <c r="I3" s="40"/>
      <c r="J3" s="40"/>
      <c r="K3" s="40"/>
      <c r="L3" s="40"/>
      <c r="M3" s="40"/>
      <c r="N3" s="40"/>
      <c r="O3" s="40"/>
      <c r="P3" s="40"/>
      <c r="Q3" s="40"/>
      <c r="R3" s="40"/>
      <c r="S3" s="119"/>
    </row>
    <row r="4" spans="1:19" ht="13.5" thickBot="1" x14ac:dyDescent="0.25">
      <c r="A4" s="41"/>
      <c r="B4" s="36"/>
      <c r="C4" s="183"/>
      <c r="D4" s="40"/>
      <c r="E4" s="40"/>
      <c r="F4" s="40"/>
      <c r="G4" s="182"/>
      <c r="H4" s="40"/>
      <c r="I4" s="40"/>
      <c r="J4" s="40"/>
      <c r="K4" s="40"/>
      <c r="L4" s="40"/>
      <c r="M4" s="40"/>
      <c r="N4" s="40"/>
      <c r="O4" s="40"/>
      <c r="P4" s="40"/>
      <c r="Q4" s="40"/>
      <c r="R4" s="40"/>
      <c r="S4" s="40"/>
    </row>
    <row r="5" spans="1:19" ht="14.25" x14ac:dyDescent="0.2">
      <c r="A5" s="42"/>
      <c r="B5" s="43"/>
      <c r="C5" s="184" t="s">
        <v>256</v>
      </c>
      <c r="D5" s="185" t="s">
        <v>3</v>
      </c>
      <c r="E5" s="44"/>
      <c r="F5" s="44"/>
      <c r="G5" s="2357" t="s">
        <v>257</v>
      </c>
      <c r="H5" s="2358"/>
      <c r="I5" s="2358"/>
      <c r="J5" s="2359"/>
      <c r="K5" s="186" t="s">
        <v>258</v>
      </c>
      <c r="L5" s="2360" t="s">
        <v>259</v>
      </c>
      <c r="M5" s="2360"/>
      <c r="N5" s="2361"/>
      <c r="O5" s="186" t="s">
        <v>260</v>
      </c>
      <c r="P5" s="186" t="s">
        <v>261</v>
      </c>
      <c r="Q5" s="2357" t="s">
        <v>262</v>
      </c>
      <c r="R5" s="2359"/>
      <c r="S5" s="178"/>
    </row>
    <row r="6" spans="1:19" ht="14.25" x14ac:dyDescent="0.2">
      <c r="A6" s="56"/>
      <c r="B6" s="45" t="s">
        <v>49</v>
      </c>
      <c r="C6" s="187" t="s">
        <v>263</v>
      </c>
      <c r="D6" s="188" t="s">
        <v>264</v>
      </c>
      <c r="E6" s="46"/>
      <c r="F6" s="46"/>
      <c r="G6" s="2362" t="s">
        <v>265</v>
      </c>
      <c r="H6" s="2355"/>
      <c r="I6" s="2355"/>
      <c r="J6" s="2356"/>
      <c r="K6" s="189" t="s">
        <v>37</v>
      </c>
      <c r="L6" s="2363" t="s">
        <v>265</v>
      </c>
      <c r="M6" s="2363"/>
      <c r="N6" s="2364"/>
      <c r="O6" s="190" t="s">
        <v>266</v>
      </c>
      <c r="P6" s="189" t="s">
        <v>266</v>
      </c>
      <c r="Q6" s="2362" t="s">
        <v>267</v>
      </c>
      <c r="R6" s="2356"/>
      <c r="S6" s="178"/>
    </row>
    <row r="7" spans="1:19" ht="14.25" x14ac:dyDescent="0.2">
      <c r="A7" s="47"/>
      <c r="B7" s="38" t="s">
        <v>290</v>
      </c>
      <c r="C7" s="187" t="s">
        <v>268</v>
      </c>
      <c r="D7" s="188" t="s">
        <v>269</v>
      </c>
      <c r="E7" s="46"/>
      <c r="F7" s="46"/>
      <c r="G7" s="191"/>
      <c r="H7" s="192" t="s">
        <v>221</v>
      </c>
      <c r="I7" s="193"/>
      <c r="J7" s="189" t="s">
        <v>12</v>
      </c>
      <c r="K7" s="194" t="s">
        <v>270</v>
      </c>
      <c r="L7" s="2355" t="s">
        <v>271</v>
      </c>
      <c r="M7" s="2355"/>
      <c r="N7" s="2356"/>
      <c r="O7" s="190" t="s">
        <v>272</v>
      </c>
      <c r="P7" s="189" t="s">
        <v>272</v>
      </c>
      <c r="Q7" s="118"/>
      <c r="R7" s="195" t="s">
        <v>273</v>
      </c>
      <c r="S7" s="178"/>
    </row>
    <row r="8" spans="1:19" ht="15.75" thickBot="1" x14ac:dyDescent="0.3">
      <c r="A8" s="48"/>
      <c r="B8" s="49"/>
      <c r="C8" s="196"/>
      <c r="D8" s="50" t="s">
        <v>4</v>
      </c>
      <c r="E8" s="197" t="s">
        <v>274</v>
      </c>
      <c r="F8" s="197" t="s">
        <v>275</v>
      </c>
      <c r="G8" s="198">
        <v>0.05</v>
      </c>
      <c r="H8" s="199">
        <v>7.4999999999999997E-2</v>
      </c>
      <c r="I8" s="200">
        <v>0.1</v>
      </c>
      <c r="J8" s="201" t="s">
        <v>276</v>
      </c>
      <c r="K8" s="202" t="s">
        <v>277</v>
      </c>
      <c r="L8" s="203" t="s">
        <v>37</v>
      </c>
      <c r="M8" s="204" t="s">
        <v>38</v>
      </c>
      <c r="N8" s="205" t="s">
        <v>39</v>
      </c>
      <c r="O8" s="206" t="s">
        <v>278</v>
      </c>
      <c r="P8" s="202" t="s">
        <v>279</v>
      </c>
      <c r="Q8" s="207" t="s">
        <v>0</v>
      </c>
      <c r="R8" s="208" t="s">
        <v>11</v>
      </c>
      <c r="S8" s="178"/>
    </row>
    <row r="9" spans="1:19" x14ac:dyDescent="0.2">
      <c r="A9" s="53" t="s">
        <v>50</v>
      </c>
      <c r="B9" s="54"/>
      <c r="C9" s="209"/>
      <c r="D9" s="55"/>
      <c r="E9" s="210"/>
      <c r="F9" s="211"/>
      <c r="G9" s="212"/>
      <c r="H9" s="210"/>
      <c r="I9" s="211"/>
      <c r="J9" s="213"/>
      <c r="K9" s="209"/>
      <c r="L9" s="214"/>
      <c r="M9" s="215"/>
      <c r="N9" s="216"/>
      <c r="O9" s="212"/>
      <c r="P9" s="209"/>
      <c r="Q9" s="217"/>
      <c r="R9" s="216"/>
      <c r="S9" s="119"/>
    </row>
    <row r="10" spans="1:19" x14ac:dyDescent="0.2">
      <c r="A10" s="56"/>
      <c r="B10" s="51" t="s">
        <v>7</v>
      </c>
      <c r="C10" s="218">
        <v>0.3</v>
      </c>
      <c r="D10" s="219">
        <v>22</v>
      </c>
      <c r="E10" s="220">
        <v>7.6</v>
      </c>
      <c r="F10" s="220">
        <v>22.6</v>
      </c>
      <c r="G10" s="191">
        <v>7.5</v>
      </c>
      <c r="H10" s="220">
        <v>5</v>
      </c>
      <c r="I10" s="221">
        <v>3.7</v>
      </c>
      <c r="J10" s="218">
        <v>3.3</v>
      </c>
      <c r="K10" s="218">
        <v>1.5</v>
      </c>
      <c r="L10" s="222">
        <v>2.7</v>
      </c>
      <c r="M10" s="223">
        <v>3.5</v>
      </c>
      <c r="N10" s="52">
        <v>4.5999999999999996</v>
      </c>
      <c r="O10" s="224">
        <v>1.7</v>
      </c>
      <c r="P10" s="218">
        <v>1.2</v>
      </c>
      <c r="Q10" s="225">
        <v>15</v>
      </c>
      <c r="R10" s="226">
        <v>30</v>
      </c>
      <c r="S10" s="119"/>
    </row>
    <row r="11" spans="1:19" x14ac:dyDescent="0.2">
      <c r="A11" s="57"/>
      <c r="B11" s="58" t="s">
        <v>51</v>
      </c>
      <c r="C11" s="227">
        <v>0.3</v>
      </c>
      <c r="D11" s="228">
        <v>37.5</v>
      </c>
      <c r="E11" s="229">
        <v>14.9</v>
      </c>
      <c r="F11" s="230">
        <v>31.3</v>
      </c>
      <c r="G11" s="224">
        <v>11.7</v>
      </c>
      <c r="H11" s="229">
        <v>7.8</v>
      </c>
      <c r="I11" s="230">
        <v>5.9</v>
      </c>
      <c r="J11" s="227">
        <v>7</v>
      </c>
      <c r="K11" s="227">
        <v>1</v>
      </c>
      <c r="L11" s="231">
        <v>2.9</v>
      </c>
      <c r="M11" s="232">
        <v>6.4</v>
      </c>
      <c r="N11" s="233">
        <v>8.3000000000000007</v>
      </c>
      <c r="O11" s="224">
        <v>2.2999999999999998</v>
      </c>
      <c r="P11" s="227">
        <v>2.7</v>
      </c>
      <c r="Q11" s="228">
        <v>15</v>
      </c>
      <c r="R11" s="233">
        <v>30</v>
      </c>
      <c r="S11" s="119"/>
    </row>
    <row r="12" spans="1:19" x14ac:dyDescent="0.2">
      <c r="A12" s="57"/>
      <c r="B12" s="58" t="s">
        <v>52</v>
      </c>
      <c r="C12" s="227">
        <v>0.7</v>
      </c>
      <c r="D12" s="225">
        <v>54.5</v>
      </c>
      <c r="E12" s="229">
        <v>20.5</v>
      </c>
      <c r="F12" s="230">
        <v>45.5</v>
      </c>
      <c r="G12" s="224">
        <v>17.100000000000001</v>
      </c>
      <c r="H12" s="229">
        <v>11.4</v>
      </c>
      <c r="I12" s="234">
        <v>8.6</v>
      </c>
      <c r="J12" s="227">
        <v>9.6999999999999993</v>
      </c>
      <c r="K12" s="227">
        <v>1.4</v>
      </c>
      <c r="L12" s="231">
        <v>4.2</v>
      </c>
      <c r="M12" s="232">
        <v>9.5</v>
      </c>
      <c r="N12" s="233">
        <v>12.7</v>
      </c>
      <c r="O12" s="224">
        <v>3.4</v>
      </c>
      <c r="P12" s="227">
        <v>3.9</v>
      </c>
      <c r="Q12" s="228">
        <v>15</v>
      </c>
      <c r="R12" s="233">
        <v>30</v>
      </c>
      <c r="S12" s="119"/>
    </row>
    <row r="13" spans="1:19" x14ac:dyDescent="0.2">
      <c r="A13" s="56"/>
      <c r="B13" s="51" t="s">
        <v>8</v>
      </c>
      <c r="C13" s="218">
        <v>1</v>
      </c>
      <c r="D13" s="235">
        <v>64</v>
      </c>
      <c r="E13" s="220">
        <v>21</v>
      </c>
      <c r="F13" s="221">
        <v>78</v>
      </c>
      <c r="G13" s="191">
        <v>21.5</v>
      </c>
      <c r="H13" s="220">
        <v>14.3</v>
      </c>
      <c r="I13" s="221">
        <v>10.7</v>
      </c>
      <c r="J13" s="236">
        <v>13.1</v>
      </c>
      <c r="K13" s="218">
        <v>4.2</v>
      </c>
      <c r="L13" s="222">
        <v>7.8</v>
      </c>
      <c r="M13" s="223">
        <v>14</v>
      </c>
      <c r="N13" s="52">
        <v>17.5</v>
      </c>
      <c r="O13" s="191">
        <v>4.8</v>
      </c>
      <c r="P13" s="218">
        <v>3.4</v>
      </c>
      <c r="Q13" s="219">
        <v>15</v>
      </c>
      <c r="R13" s="52">
        <v>30</v>
      </c>
      <c r="S13" s="119"/>
    </row>
    <row r="14" spans="1:19" ht="14.25" x14ac:dyDescent="0.2">
      <c r="A14" s="237"/>
      <c r="B14" s="238" t="s">
        <v>280</v>
      </c>
      <c r="C14" s="227"/>
      <c r="D14" s="225"/>
      <c r="E14" s="229" t="s">
        <v>219</v>
      </c>
      <c r="F14" s="230"/>
      <c r="G14" s="224"/>
      <c r="H14" s="239"/>
      <c r="I14" s="240"/>
      <c r="J14" s="241"/>
      <c r="K14" s="227"/>
      <c r="L14" s="231"/>
      <c r="M14" s="232"/>
      <c r="N14" s="233"/>
      <c r="O14" s="224"/>
      <c r="P14" s="227"/>
      <c r="Q14" s="228"/>
      <c r="R14" s="233"/>
      <c r="S14" s="178"/>
    </row>
    <row r="15" spans="1:19" x14ac:dyDescent="0.2">
      <c r="A15" s="56"/>
      <c r="B15" s="51" t="s">
        <v>281</v>
      </c>
      <c r="C15" s="218">
        <v>0.3</v>
      </c>
      <c r="D15" s="235">
        <v>37</v>
      </c>
      <c r="E15" s="220">
        <v>11</v>
      </c>
      <c r="F15" s="221">
        <v>46</v>
      </c>
      <c r="G15" s="191">
        <v>12.5</v>
      </c>
      <c r="H15" s="220">
        <v>8.3000000000000007</v>
      </c>
      <c r="I15" s="221">
        <v>6.2</v>
      </c>
      <c r="J15" s="218">
        <v>7.6</v>
      </c>
      <c r="K15" s="218">
        <v>2.5</v>
      </c>
      <c r="L15" s="222">
        <v>4.5</v>
      </c>
      <c r="M15" s="223">
        <v>7.4</v>
      </c>
      <c r="N15" s="52">
        <v>8.9</v>
      </c>
      <c r="O15" s="191">
        <v>2.8</v>
      </c>
      <c r="P15" s="218">
        <v>2</v>
      </c>
      <c r="Q15" s="219">
        <v>15</v>
      </c>
      <c r="R15" s="52">
        <v>30</v>
      </c>
      <c r="S15" s="178"/>
    </row>
    <row r="16" spans="1:19" x14ac:dyDescent="0.2">
      <c r="A16" s="56"/>
      <c r="B16" s="51" t="s">
        <v>9</v>
      </c>
      <c r="C16" s="218">
        <v>0.7</v>
      </c>
      <c r="D16" s="235">
        <v>56</v>
      </c>
      <c r="E16" s="220">
        <v>18</v>
      </c>
      <c r="F16" s="221">
        <v>69</v>
      </c>
      <c r="G16" s="191">
        <v>18.899999999999999</v>
      </c>
      <c r="H16" s="220">
        <v>12.6</v>
      </c>
      <c r="I16" s="221">
        <v>9.4</v>
      </c>
      <c r="J16" s="218">
        <v>11.5</v>
      </c>
      <c r="K16" s="218">
        <v>3.7</v>
      </c>
      <c r="L16" s="222">
        <v>6.8</v>
      </c>
      <c r="M16" s="223">
        <v>11.8</v>
      </c>
      <c r="N16" s="52">
        <v>14.6</v>
      </c>
      <c r="O16" s="191">
        <v>4.3</v>
      </c>
      <c r="P16" s="218">
        <v>3</v>
      </c>
      <c r="Q16" s="219">
        <v>15</v>
      </c>
      <c r="R16" s="52">
        <v>30</v>
      </c>
      <c r="S16" s="178"/>
    </row>
    <row r="17" spans="1:19" x14ac:dyDescent="0.2">
      <c r="A17" s="56"/>
      <c r="B17" s="51" t="s">
        <v>10</v>
      </c>
      <c r="C17" s="218">
        <v>1</v>
      </c>
      <c r="D17" s="235">
        <v>64</v>
      </c>
      <c r="E17" s="220">
        <v>21</v>
      </c>
      <c r="F17" s="221">
        <v>78</v>
      </c>
      <c r="G17" s="191">
        <v>21.5</v>
      </c>
      <c r="H17" s="220">
        <v>14.3</v>
      </c>
      <c r="I17" s="221">
        <v>10.7</v>
      </c>
      <c r="J17" s="218">
        <v>13.1</v>
      </c>
      <c r="K17" s="218">
        <v>4.2</v>
      </c>
      <c r="L17" s="222">
        <v>7.8</v>
      </c>
      <c r="M17" s="223">
        <v>14</v>
      </c>
      <c r="N17" s="52">
        <v>17.5</v>
      </c>
      <c r="O17" s="191">
        <v>4.8</v>
      </c>
      <c r="P17" s="218">
        <v>3.4</v>
      </c>
      <c r="Q17" s="219">
        <v>15</v>
      </c>
      <c r="R17" s="52">
        <v>30</v>
      </c>
      <c r="S17" s="178"/>
    </row>
    <row r="18" spans="1:19" x14ac:dyDescent="0.2">
      <c r="A18" s="56"/>
      <c r="B18" s="51" t="s">
        <v>282</v>
      </c>
      <c r="C18" s="218">
        <v>1</v>
      </c>
      <c r="D18" s="235">
        <v>100</v>
      </c>
      <c r="E18" s="220">
        <v>36</v>
      </c>
      <c r="F18" s="221">
        <v>104</v>
      </c>
      <c r="G18" s="191">
        <v>33.799999999999997</v>
      </c>
      <c r="H18" s="220">
        <v>22.5</v>
      </c>
      <c r="I18" s="221">
        <v>16.899999999999999</v>
      </c>
      <c r="J18" s="218">
        <v>19</v>
      </c>
      <c r="K18" s="218">
        <v>4</v>
      </c>
      <c r="L18" s="222">
        <v>15</v>
      </c>
      <c r="M18" s="223">
        <v>18.600000000000001</v>
      </c>
      <c r="N18" s="52">
        <v>23.4</v>
      </c>
      <c r="O18" s="191">
        <v>7.3</v>
      </c>
      <c r="P18" s="218">
        <v>6</v>
      </c>
      <c r="Q18" s="219">
        <v>15</v>
      </c>
      <c r="R18" s="52">
        <v>30</v>
      </c>
      <c r="S18" s="178"/>
    </row>
    <row r="19" spans="1:19" x14ac:dyDescent="0.2">
      <c r="A19" s="56"/>
      <c r="B19" s="51" t="s">
        <v>283</v>
      </c>
      <c r="C19" s="218">
        <v>1</v>
      </c>
      <c r="D19" s="235">
        <v>115</v>
      </c>
      <c r="E19" s="220">
        <v>42</v>
      </c>
      <c r="F19" s="221">
        <v>116</v>
      </c>
      <c r="G19" s="191">
        <v>37.299999999999997</v>
      </c>
      <c r="H19" s="220">
        <v>24.9</v>
      </c>
      <c r="I19" s="221">
        <v>18.600000000000001</v>
      </c>
      <c r="J19" s="218">
        <v>20</v>
      </c>
      <c r="K19" s="218">
        <v>4</v>
      </c>
      <c r="L19" s="222">
        <v>16</v>
      </c>
      <c r="M19" s="223">
        <v>19.399999999999999</v>
      </c>
      <c r="N19" s="52">
        <v>24.4</v>
      </c>
      <c r="O19" s="191">
        <v>8</v>
      </c>
      <c r="P19" s="218">
        <v>6.4</v>
      </c>
      <c r="Q19" s="219">
        <v>15</v>
      </c>
      <c r="R19" s="52">
        <v>30</v>
      </c>
      <c r="S19" s="178"/>
    </row>
    <row r="20" spans="1:19" x14ac:dyDescent="0.2">
      <c r="A20" s="56"/>
      <c r="B20" s="51" t="s">
        <v>284</v>
      </c>
      <c r="C20" s="218">
        <v>1</v>
      </c>
      <c r="D20" s="235">
        <v>133</v>
      </c>
      <c r="E20" s="220">
        <v>47</v>
      </c>
      <c r="F20" s="221">
        <v>125</v>
      </c>
      <c r="G20" s="191">
        <v>39.299999999999997</v>
      </c>
      <c r="H20" s="220">
        <v>26.2</v>
      </c>
      <c r="I20" s="221">
        <v>19.600000000000001</v>
      </c>
      <c r="J20" s="218">
        <v>21</v>
      </c>
      <c r="K20" s="218">
        <v>5</v>
      </c>
      <c r="L20" s="222">
        <v>17</v>
      </c>
      <c r="M20" s="223">
        <v>20.2</v>
      </c>
      <c r="N20" s="52">
        <v>25.4</v>
      </c>
      <c r="O20" s="191">
        <v>7.7</v>
      </c>
      <c r="P20" s="218">
        <v>6.8</v>
      </c>
      <c r="Q20" s="219">
        <v>15</v>
      </c>
      <c r="R20" s="52">
        <v>30</v>
      </c>
      <c r="S20" s="178"/>
    </row>
    <row r="21" spans="1:19" x14ac:dyDescent="0.2">
      <c r="A21" s="56"/>
      <c r="B21" s="51" t="s">
        <v>285</v>
      </c>
      <c r="C21" s="218">
        <v>1</v>
      </c>
      <c r="D21" s="235">
        <v>152</v>
      </c>
      <c r="E21" s="220">
        <v>52</v>
      </c>
      <c r="F21" s="221">
        <v>135</v>
      </c>
      <c r="G21" s="191">
        <v>45.3</v>
      </c>
      <c r="H21" s="220">
        <v>30.2</v>
      </c>
      <c r="I21" s="221">
        <v>22.7</v>
      </c>
      <c r="J21" s="218">
        <v>22</v>
      </c>
      <c r="K21" s="218">
        <v>6</v>
      </c>
      <c r="L21" s="222">
        <v>17</v>
      </c>
      <c r="M21" s="223">
        <v>21</v>
      </c>
      <c r="N21" s="52">
        <v>26.4</v>
      </c>
      <c r="O21" s="191">
        <v>7.5</v>
      </c>
      <c r="P21" s="218">
        <v>7.2</v>
      </c>
      <c r="Q21" s="219">
        <v>15</v>
      </c>
      <c r="R21" s="52">
        <v>30</v>
      </c>
      <c r="S21" s="178"/>
    </row>
    <row r="22" spans="1:19" ht="14.25" x14ac:dyDescent="0.2">
      <c r="A22" s="237"/>
      <c r="B22" s="238" t="s">
        <v>286</v>
      </c>
      <c r="C22" s="227"/>
      <c r="D22" s="225"/>
      <c r="E22" s="229" t="s">
        <v>219</v>
      </c>
      <c r="F22" s="230"/>
      <c r="G22" s="224"/>
      <c r="H22" s="239"/>
      <c r="I22" s="240"/>
      <c r="J22" s="241"/>
      <c r="K22" s="227"/>
      <c r="L22" s="231"/>
      <c r="M22" s="232"/>
      <c r="N22" s="233"/>
      <c r="O22" s="224"/>
      <c r="P22" s="227"/>
      <c r="Q22" s="228"/>
      <c r="R22" s="233"/>
      <c r="S22" s="178"/>
    </row>
    <row r="23" spans="1:19" x14ac:dyDescent="0.2">
      <c r="A23" s="56"/>
      <c r="B23" s="51" t="s">
        <v>281</v>
      </c>
      <c r="C23" s="218">
        <v>0.3</v>
      </c>
      <c r="D23" s="235">
        <v>47</v>
      </c>
      <c r="E23" s="220">
        <v>14</v>
      </c>
      <c r="F23" s="221">
        <v>58</v>
      </c>
      <c r="G23" s="191">
        <v>12.4</v>
      </c>
      <c r="H23" s="220">
        <v>8.3000000000000007</v>
      </c>
      <c r="I23" s="221">
        <v>6.2</v>
      </c>
      <c r="J23" s="218">
        <v>7.6</v>
      </c>
      <c r="K23" s="218">
        <v>2.5</v>
      </c>
      <c r="L23" s="222">
        <v>4.5</v>
      </c>
      <c r="M23" s="223">
        <v>7.4</v>
      </c>
      <c r="N23" s="52">
        <v>8.9</v>
      </c>
      <c r="O23" s="191">
        <v>3.5</v>
      </c>
      <c r="P23" s="218">
        <v>2</v>
      </c>
      <c r="Q23" s="219">
        <v>15</v>
      </c>
      <c r="R23" s="52">
        <v>30</v>
      </c>
      <c r="S23" s="178"/>
    </row>
    <row r="24" spans="1:19" x14ac:dyDescent="0.2">
      <c r="A24" s="56"/>
      <c r="B24" s="51" t="s">
        <v>9</v>
      </c>
      <c r="C24" s="218">
        <v>0.7</v>
      </c>
      <c r="D24" s="235">
        <v>72</v>
      </c>
      <c r="E24" s="220">
        <v>21</v>
      </c>
      <c r="F24" s="221">
        <v>94</v>
      </c>
      <c r="G24" s="191">
        <v>19</v>
      </c>
      <c r="H24" s="220">
        <v>12.7</v>
      </c>
      <c r="I24" s="221">
        <v>9.5</v>
      </c>
      <c r="J24" s="218">
        <v>11.7</v>
      </c>
      <c r="K24" s="218">
        <v>3.8</v>
      </c>
      <c r="L24" s="222">
        <v>6.9</v>
      </c>
      <c r="M24" s="223">
        <v>12</v>
      </c>
      <c r="N24" s="52">
        <v>14.8</v>
      </c>
      <c r="O24" s="191">
        <v>5.4</v>
      </c>
      <c r="P24" s="218">
        <v>3</v>
      </c>
      <c r="Q24" s="219">
        <v>15</v>
      </c>
      <c r="R24" s="52">
        <v>30</v>
      </c>
      <c r="S24" s="178"/>
    </row>
    <row r="25" spans="1:19" x14ac:dyDescent="0.2">
      <c r="A25" s="56"/>
      <c r="B25" s="51" t="s">
        <v>10</v>
      </c>
      <c r="C25" s="218">
        <v>1</v>
      </c>
      <c r="D25" s="235">
        <v>84</v>
      </c>
      <c r="E25" s="220">
        <v>23</v>
      </c>
      <c r="F25" s="221">
        <v>100</v>
      </c>
      <c r="G25" s="191">
        <v>22.2</v>
      </c>
      <c r="H25" s="220">
        <v>14.8</v>
      </c>
      <c r="I25" s="221">
        <v>11.1</v>
      </c>
      <c r="J25" s="218">
        <v>13.7</v>
      </c>
      <c r="K25" s="218">
        <v>4.4000000000000004</v>
      </c>
      <c r="L25" s="222">
        <v>8.1</v>
      </c>
      <c r="M25" s="223">
        <v>14.5</v>
      </c>
      <c r="N25" s="52">
        <v>18.100000000000001</v>
      </c>
      <c r="O25" s="191">
        <v>6.3</v>
      </c>
      <c r="P25" s="218">
        <v>3.5</v>
      </c>
      <c r="Q25" s="219">
        <v>15</v>
      </c>
      <c r="R25" s="52">
        <v>30</v>
      </c>
      <c r="S25" s="178"/>
    </row>
    <row r="26" spans="1:19" x14ac:dyDescent="0.2">
      <c r="A26" s="56"/>
      <c r="B26" s="51" t="s">
        <v>282</v>
      </c>
      <c r="C26" s="218">
        <v>1</v>
      </c>
      <c r="D26" s="235">
        <v>109</v>
      </c>
      <c r="E26" s="220">
        <v>37</v>
      </c>
      <c r="F26" s="221">
        <v>129</v>
      </c>
      <c r="G26" s="191">
        <v>36.5</v>
      </c>
      <c r="H26" s="220">
        <v>24.3</v>
      </c>
      <c r="I26" s="221">
        <v>18.2</v>
      </c>
      <c r="J26" s="218">
        <v>19</v>
      </c>
      <c r="K26" s="218">
        <v>4</v>
      </c>
      <c r="L26" s="222">
        <v>14.4</v>
      </c>
      <c r="M26" s="223">
        <v>18.600000000000001</v>
      </c>
      <c r="N26" s="52">
        <v>23.4</v>
      </c>
      <c r="O26" s="191">
        <v>9.6</v>
      </c>
      <c r="P26" s="218">
        <v>6</v>
      </c>
      <c r="Q26" s="219">
        <v>15</v>
      </c>
      <c r="R26" s="52">
        <v>30</v>
      </c>
      <c r="S26" s="178"/>
    </row>
    <row r="27" spans="1:19" x14ac:dyDescent="0.2">
      <c r="A27" s="56"/>
      <c r="B27" s="51" t="s">
        <v>283</v>
      </c>
      <c r="C27" s="218">
        <v>1</v>
      </c>
      <c r="D27" s="235">
        <v>124</v>
      </c>
      <c r="E27" s="220">
        <v>43</v>
      </c>
      <c r="F27" s="221">
        <v>134</v>
      </c>
      <c r="G27" s="191">
        <v>38.1</v>
      </c>
      <c r="H27" s="220">
        <v>25.4</v>
      </c>
      <c r="I27" s="221">
        <v>19</v>
      </c>
      <c r="J27" s="218">
        <v>20</v>
      </c>
      <c r="K27" s="218">
        <v>4</v>
      </c>
      <c r="L27" s="222">
        <v>15</v>
      </c>
      <c r="M27" s="223">
        <v>19.399999999999999</v>
      </c>
      <c r="N27" s="52">
        <v>24.4</v>
      </c>
      <c r="O27" s="191">
        <v>9.6999999999999993</v>
      </c>
      <c r="P27" s="218">
        <v>6.4</v>
      </c>
      <c r="Q27" s="219">
        <v>15</v>
      </c>
      <c r="R27" s="52">
        <v>30</v>
      </c>
      <c r="S27" s="178"/>
    </row>
    <row r="28" spans="1:19" x14ac:dyDescent="0.2">
      <c r="A28" s="56"/>
      <c r="B28" s="51" t="s">
        <v>284</v>
      </c>
      <c r="C28" s="218">
        <v>1</v>
      </c>
      <c r="D28" s="235">
        <v>141</v>
      </c>
      <c r="E28" s="220">
        <v>48</v>
      </c>
      <c r="F28" s="221">
        <v>143</v>
      </c>
      <c r="G28" s="191">
        <v>40.4</v>
      </c>
      <c r="H28" s="220">
        <v>26.9</v>
      </c>
      <c r="I28" s="221">
        <v>20.2</v>
      </c>
      <c r="J28" s="218">
        <v>21</v>
      </c>
      <c r="K28" s="218">
        <v>5</v>
      </c>
      <c r="L28" s="222">
        <v>16</v>
      </c>
      <c r="M28" s="223">
        <v>20.2</v>
      </c>
      <c r="N28" s="52">
        <v>25.4</v>
      </c>
      <c r="O28" s="191">
        <v>9.5</v>
      </c>
      <c r="P28" s="218">
        <v>6.8</v>
      </c>
      <c r="Q28" s="219">
        <v>15</v>
      </c>
      <c r="R28" s="52">
        <v>30</v>
      </c>
      <c r="S28" s="178"/>
    </row>
    <row r="29" spans="1:19" ht="13.5" thickBot="1" x14ac:dyDescent="0.25">
      <c r="A29" s="56"/>
      <c r="B29" s="51" t="s">
        <v>53</v>
      </c>
      <c r="C29" s="218">
        <v>1</v>
      </c>
      <c r="D29" s="235">
        <v>105</v>
      </c>
      <c r="E29" s="220">
        <v>31</v>
      </c>
      <c r="F29" s="221">
        <v>129</v>
      </c>
      <c r="G29" s="242">
        <v>32.200000000000003</v>
      </c>
      <c r="H29" s="220">
        <v>21.4</v>
      </c>
      <c r="I29" s="221">
        <v>16.100000000000001</v>
      </c>
      <c r="J29" s="218">
        <v>20</v>
      </c>
      <c r="K29" s="218">
        <v>4</v>
      </c>
      <c r="L29" s="222">
        <v>15.8</v>
      </c>
      <c r="M29" s="223">
        <v>19.600000000000001</v>
      </c>
      <c r="N29" s="52">
        <v>24.4</v>
      </c>
      <c r="O29" s="191">
        <v>7.6</v>
      </c>
      <c r="P29" s="218">
        <v>6</v>
      </c>
      <c r="Q29" s="219">
        <v>15</v>
      </c>
      <c r="R29" s="52">
        <v>30</v>
      </c>
      <c r="S29" s="178"/>
    </row>
    <row r="30" spans="1:19" x14ac:dyDescent="0.2">
      <c r="A30" s="243" t="s">
        <v>94</v>
      </c>
      <c r="B30" s="244"/>
      <c r="C30" s="245"/>
      <c r="D30" s="246"/>
      <c r="E30" s="247"/>
      <c r="F30" s="248"/>
      <c r="G30" s="249">
        <v>3.5000000000000003E-2</v>
      </c>
      <c r="H30" s="250">
        <v>0.05</v>
      </c>
      <c r="I30" s="251">
        <v>7.4999999999999997E-2</v>
      </c>
      <c r="J30" s="252"/>
      <c r="K30" s="245"/>
      <c r="L30" s="253"/>
      <c r="M30" s="254"/>
      <c r="N30" s="255"/>
      <c r="O30" s="256"/>
      <c r="P30" s="245"/>
      <c r="Q30" s="257"/>
      <c r="R30" s="255"/>
      <c r="S30" s="178"/>
    </row>
    <row r="31" spans="1:19" x14ac:dyDescent="0.2">
      <c r="A31" s="47"/>
      <c r="B31" s="51" t="s">
        <v>54</v>
      </c>
      <c r="C31" s="218">
        <v>0.3</v>
      </c>
      <c r="D31" s="258">
        <v>27.3</v>
      </c>
      <c r="E31" s="220">
        <v>12.6</v>
      </c>
      <c r="F31" s="259">
        <v>12.8</v>
      </c>
      <c r="G31" s="191">
        <v>8.1</v>
      </c>
      <c r="H31" s="220">
        <v>5.7</v>
      </c>
      <c r="I31" s="221">
        <v>3.8</v>
      </c>
      <c r="J31" s="218">
        <v>4.2</v>
      </c>
      <c r="K31" s="218">
        <v>2</v>
      </c>
      <c r="L31" s="222">
        <v>3.6</v>
      </c>
      <c r="M31" s="223">
        <v>4.3</v>
      </c>
      <c r="N31" s="52">
        <v>5.5</v>
      </c>
      <c r="O31" s="191">
        <v>1.2</v>
      </c>
      <c r="P31" s="218">
        <v>1.3</v>
      </c>
      <c r="Q31" s="219">
        <v>20</v>
      </c>
      <c r="R31" s="52">
        <v>30</v>
      </c>
      <c r="S31" s="178"/>
    </row>
    <row r="32" spans="1:19" x14ac:dyDescent="0.2">
      <c r="A32" s="47"/>
      <c r="B32" s="51" t="s">
        <v>55</v>
      </c>
      <c r="C32" s="218">
        <v>0.3</v>
      </c>
      <c r="D32" s="258">
        <v>24.1</v>
      </c>
      <c r="E32" s="220">
        <v>11.2</v>
      </c>
      <c r="F32" s="259">
        <v>11.6</v>
      </c>
      <c r="G32" s="191">
        <v>7.2</v>
      </c>
      <c r="H32" s="220">
        <v>5</v>
      </c>
      <c r="I32" s="221">
        <v>3.4</v>
      </c>
      <c r="J32" s="218">
        <v>4.2</v>
      </c>
      <c r="K32" s="218">
        <v>2</v>
      </c>
      <c r="L32" s="222">
        <v>3.6</v>
      </c>
      <c r="M32" s="223">
        <v>4.3</v>
      </c>
      <c r="N32" s="52">
        <v>5.5</v>
      </c>
      <c r="O32" s="191">
        <v>1.2</v>
      </c>
      <c r="P32" s="218">
        <v>1.3</v>
      </c>
      <c r="Q32" s="219">
        <v>20</v>
      </c>
      <c r="R32" s="52">
        <v>30</v>
      </c>
      <c r="S32" s="178"/>
    </row>
    <row r="33" spans="1:19" x14ac:dyDescent="0.2">
      <c r="A33" s="47"/>
      <c r="B33" s="59" t="s">
        <v>56</v>
      </c>
      <c r="C33" s="218">
        <v>0.3</v>
      </c>
      <c r="D33" s="235">
        <v>27.5</v>
      </c>
      <c r="E33" s="220">
        <v>12.8</v>
      </c>
      <c r="F33" s="259">
        <v>13.1</v>
      </c>
      <c r="G33" s="191">
        <v>8.1999999999999993</v>
      </c>
      <c r="H33" s="220">
        <v>5.8</v>
      </c>
      <c r="I33" s="221">
        <v>3.8</v>
      </c>
      <c r="J33" s="218">
        <v>4.4000000000000004</v>
      </c>
      <c r="K33" s="218">
        <v>2</v>
      </c>
      <c r="L33" s="222">
        <v>3.7</v>
      </c>
      <c r="M33" s="223">
        <v>4.5</v>
      </c>
      <c r="N33" s="52">
        <v>5.7</v>
      </c>
      <c r="O33" s="191">
        <v>1.2</v>
      </c>
      <c r="P33" s="218">
        <v>1.4</v>
      </c>
      <c r="Q33" s="219">
        <v>20</v>
      </c>
      <c r="R33" s="52">
        <v>30</v>
      </c>
      <c r="S33" s="178"/>
    </row>
    <row r="34" spans="1:19" x14ac:dyDescent="0.2">
      <c r="A34" s="47"/>
      <c r="B34" s="59" t="s">
        <v>57</v>
      </c>
      <c r="C34" s="218">
        <v>0.3</v>
      </c>
      <c r="D34" s="235">
        <v>24.2</v>
      </c>
      <c r="E34" s="220">
        <v>11.2</v>
      </c>
      <c r="F34" s="259">
        <v>11.8</v>
      </c>
      <c r="G34" s="191">
        <v>7.4</v>
      </c>
      <c r="H34" s="220">
        <v>5.2</v>
      </c>
      <c r="I34" s="221">
        <v>3.4</v>
      </c>
      <c r="J34" s="218">
        <v>4.4000000000000004</v>
      </c>
      <c r="K34" s="218">
        <v>2</v>
      </c>
      <c r="L34" s="222">
        <v>3.7</v>
      </c>
      <c r="M34" s="223">
        <v>4.5</v>
      </c>
      <c r="N34" s="52">
        <v>5.7</v>
      </c>
      <c r="O34" s="191">
        <v>1.2</v>
      </c>
      <c r="P34" s="218">
        <v>1.4</v>
      </c>
      <c r="Q34" s="219">
        <v>20</v>
      </c>
      <c r="R34" s="52">
        <v>30</v>
      </c>
      <c r="S34" s="178"/>
    </row>
    <row r="35" spans="1:19" x14ac:dyDescent="0.2">
      <c r="A35" s="47"/>
      <c r="B35" s="51" t="s">
        <v>58</v>
      </c>
      <c r="C35" s="218">
        <v>0.3</v>
      </c>
      <c r="D35" s="258">
        <v>41.1</v>
      </c>
      <c r="E35" s="220">
        <v>17.899999999999999</v>
      </c>
      <c r="F35" s="259">
        <v>21.1</v>
      </c>
      <c r="G35" s="191">
        <v>11.9</v>
      </c>
      <c r="H35" s="220">
        <v>8.3000000000000007</v>
      </c>
      <c r="I35" s="221">
        <v>5.5</v>
      </c>
      <c r="J35" s="218">
        <v>6.5</v>
      </c>
      <c r="K35" s="218">
        <v>3</v>
      </c>
      <c r="L35" s="222">
        <v>5.2</v>
      </c>
      <c r="M35" s="223">
        <v>6.1</v>
      </c>
      <c r="N35" s="52">
        <v>7.8</v>
      </c>
      <c r="O35" s="191">
        <v>1.2</v>
      </c>
      <c r="P35" s="218">
        <v>2.4</v>
      </c>
      <c r="Q35" s="219">
        <v>20</v>
      </c>
      <c r="R35" s="52">
        <v>30</v>
      </c>
      <c r="S35" s="178"/>
    </row>
    <row r="36" spans="1:19" x14ac:dyDescent="0.2">
      <c r="A36" s="47"/>
      <c r="B36" s="51" t="s">
        <v>59</v>
      </c>
      <c r="C36" s="218">
        <v>0.3</v>
      </c>
      <c r="D36" s="258">
        <v>36.799999999999997</v>
      </c>
      <c r="E36" s="220">
        <v>16</v>
      </c>
      <c r="F36" s="259">
        <v>19.5</v>
      </c>
      <c r="G36" s="191">
        <v>10.9</v>
      </c>
      <c r="H36" s="220">
        <v>7.6</v>
      </c>
      <c r="I36" s="221">
        <v>5.0999999999999996</v>
      </c>
      <c r="J36" s="218">
        <v>6.5</v>
      </c>
      <c r="K36" s="218">
        <v>3</v>
      </c>
      <c r="L36" s="222">
        <v>5.2</v>
      </c>
      <c r="M36" s="223">
        <v>6.1</v>
      </c>
      <c r="N36" s="52">
        <v>7.8</v>
      </c>
      <c r="O36" s="191">
        <v>1.2</v>
      </c>
      <c r="P36" s="218">
        <v>2.4</v>
      </c>
      <c r="Q36" s="219">
        <v>20</v>
      </c>
      <c r="R36" s="52">
        <v>30</v>
      </c>
      <c r="S36" s="178"/>
    </row>
    <row r="37" spans="1:19" x14ac:dyDescent="0.2">
      <c r="A37" s="47"/>
      <c r="B37" s="59" t="s">
        <v>60</v>
      </c>
      <c r="C37" s="218">
        <v>0.3</v>
      </c>
      <c r="D37" s="235">
        <v>42.9</v>
      </c>
      <c r="E37" s="220">
        <v>18.600000000000001</v>
      </c>
      <c r="F37" s="259">
        <v>21.3</v>
      </c>
      <c r="G37" s="191">
        <v>12.5</v>
      </c>
      <c r="H37" s="220">
        <v>8.6999999999999993</v>
      </c>
      <c r="I37" s="221">
        <v>5.8</v>
      </c>
      <c r="J37" s="218">
        <v>7</v>
      </c>
      <c r="K37" s="218">
        <v>3</v>
      </c>
      <c r="L37" s="222">
        <v>5.5</v>
      </c>
      <c r="M37" s="223">
        <v>6.5</v>
      </c>
      <c r="N37" s="52">
        <v>8.3000000000000007</v>
      </c>
      <c r="O37" s="191">
        <v>1.2</v>
      </c>
      <c r="P37" s="218">
        <v>2.6</v>
      </c>
      <c r="Q37" s="219">
        <v>20</v>
      </c>
      <c r="R37" s="52">
        <v>30</v>
      </c>
      <c r="S37" s="178"/>
    </row>
    <row r="38" spans="1:19" x14ac:dyDescent="0.2">
      <c r="A38" s="47"/>
      <c r="B38" s="59" t="s">
        <v>61</v>
      </c>
      <c r="C38" s="218">
        <v>0.3</v>
      </c>
      <c r="D38" s="235">
        <v>38.4</v>
      </c>
      <c r="E38" s="220">
        <v>16.7</v>
      </c>
      <c r="F38" s="259">
        <v>20.7</v>
      </c>
      <c r="G38" s="191">
        <v>11.5</v>
      </c>
      <c r="H38" s="220">
        <v>8</v>
      </c>
      <c r="I38" s="221">
        <v>5.3</v>
      </c>
      <c r="J38" s="218">
        <v>7</v>
      </c>
      <c r="K38" s="218">
        <v>3</v>
      </c>
      <c r="L38" s="222">
        <v>5.5</v>
      </c>
      <c r="M38" s="223">
        <v>6.5</v>
      </c>
      <c r="N38" s="52">
        <v>8.3000000000000007</v>
      </c>
      <c r="O38" s="191">
        <v>1.2</v>
      </c>
      <c r="P38" s="218">
        <v>2.6</v>
      </c>
      <c r="Q38" s="219">
        <v>20</v>
      </c>
      <c r="R38" s="52">
        <v>30</v>
      </c>
      <c r="S38" s="178"/>
    </row>
    <row r="39" spans="1:19" x14ac:dyDescent="0.2">
      <c r="A39" s="56"/>
      <c r="B39" s="59" t="s">
        <v>62</v>
      </c>
      <c r="C39" s="260">
        <v>0.02</v>
      </c>
      <c r="D39" s="235">
        <v>4.5</v>
      </c>
      <c r="E39" s="261">
        <v>1.64</v>
      </c>
      <c r="F39" s="262">
        <v>2.7</v>
      </c>
      <c r="G39" s="191">
        <v>1.3</v>
      </c>
      <c r="H39" s="220">
        <v>0.9</v>
      </c>
      <c r="I39" s="221">
        <v>0.6</v>
      </c>
      <c r="J39" s="218">
        <v>0.7</v>
      </c>
      <c r="K39" s="218">
        <v>0.2</v>
      </c>
      <c r="L39" s="222">
        <v>0.4</v>
      </c>
      <c r="M39" s="223">
        <v>0.6</v>
      </c>
      <c r="N39" s="52">
        <v>0.8</v>
      </c>
      <c r="O39" s="263">
        <v>0.15</v>
      </c>
      <c r="P39" s="218">
        <v>0.4</v>
      </c>
      <c r="Q39" s="219">
        <v>20</v>
      </c>
      <c r="R39" s="52">
        <v>30</v>
      </c>
      <c r="S39" s="178"/>
    </row>
    <row r="40" spans="1:19" x14ac:dyDescent="0.2">
      <c r="A40" s="56"/>
      <c r="B40" s="59" t="s">
        <v>63</v>
      </c>
      <c r="C40" s="260">
        <v>0.02</v>
      </c>
      <c r="D40" s="235">
        <v>4.2</v>
      </c>
      <c r="E40" s="261">
        <v>1.61</v>
      </c>
      <c r="F40" s="262">
        <v>2.6</v>
      </c>
      <c r="G40" s="191">
        <v>1.2</v>
      </c>
      <c r="H40" s="220">
        <v>0.8</v>
      </c>
      <c r="I40" s="221">
        <v>0.6</v>
      </c>
      <c r="J40" s="218">
        <v>0.7</v>
      </c>
      <c r="K40" s="218">
        <v>0.2</v>
      </c>
      <c r="L40" s="222">
        <v>0.4</v>
      </c>
      <c r="M40" s="223">
        <v>0.6</v>
      </c>
      <c r="N40" s="52">
        <v>0.8</v>
      </c>
      <c r="O40" s="263">
        <v>0.15</v>
      </c>
      <c r="P40" s="218">
        <v>0.4</v>
      </c>
      <c r="Q40" s="219">
        <v>20</v>
      </c>
      <c r="R40" s="52">
        <v>30</v>
      </c>
      <c r="S40" s="178"/>
    </row>
    <row r="41" spans="1:19" x14ac:dyDescent="0.2">
      <c r="A41" s="47"/>
      <c r="B41" s="51" t="s">
        <v>64</v>
      </c>
      <c r="C41" s="260">
        <v>0.16</v>
      </c>
      <c r="D41" s="235">
        <v>14.1</v>
      </c>
      <c r="E41" s="220">
        <v>6</v>
      </c>
      <c r="F41" s="259">
        <v>7</v>
      </c>
      <c r="G41" s="242">
        <v>3.8</v>
      </c>
      <c r="H41" s="220">
        <v>2.7</v>
      </c>
      <c r="I41" s="221">
        <v>1.8</v>
      </c>
      <c r="J41" s="218">
        <v>1.8</v>
      </c>
      <c r="K41" s="218">
        <v>0.5</v>
      </c>
      <c r="L41" s="222">
        <v>1.3</v>
      </c>
      <c r="M41" s="223">
        <v>1.9</v>
      </c>
      <c r="N41" s="52">
        <v>2.6</v>
      </c>
      <c r="O41" s="191">
        <v>0.7</v>
      </c>
      <c r="P41" s="218">
        <v>0.7</v>
      </c>
      <c r="Q41" s="219">
        <v>20</v>
      </c>
      <c r="R41" s="52">
        <v>30</v>
      </c>
      <c r="S41" s="178"/>
    </row>
    <row r="42" spans="1:19" x14ac:dyDescent="0.2">
      <c r="A42" s="47"/>
      <c r="B42" s="51" t="s">
        <v>65</v>
      </c>
      <c r="C42" s="260">
        <v>0.16</v>
      </c>
      <c r="D42" s="235">
        <v>13.4</v>
      </c>
      <c r="E42" s="220">
        <v>5.0999999999999996</v>
      </c>
      <c r="F42" s="259">
        <v>6.8</v>
      </c>
      <c r="G42" s="242">
        <v>3.9</v>
      </c>
      <c r="H42" s="220">
        <v>2.7</v>
      </c>
      <c r="I42" s="221">
        <v>1.8</v>
      </c>
      <c r="J42" s="218">
        <v>1.8</v>
      </c>
      <c r="K42" s="218">
        <v>0.5</v>
      </c>
      <c r="L42" s="222">
        <v>1.3</v>
      </c>
      <c r="M42" s="223">
        <v>1.9</v>
      </c>
      <c r="N42" s="52">
        <v>2.6</v>
      </c>
      <c r="O42" s="191">
        <v>0.7</v>
      </c>
      <c r="P42" s="218">
        <v>0.7</v>
      </c>
      <c r="Q42" s="219">
        <v>20</v>
      </c>
      <c r="R42" s="52">
        <v>30</v>
      </c>
      <c r="S42" s="178"/>
    </row>
    <row r="43" spans="1:19" x14ac:dyDescent="0.2">
      <c r="A43" s="56"/>
      <c r="B43" s="51" t="s">
        <v>66</v>
      </c>
      <c r="C43" s="260">
        <v>0.16</v>
      </c>
      <c r="D43" s="235">
        <v>15.4</v>
      </c>
      <c r="E43" s="220">
        <v>6.3</v>
      </c>
      <c r="F43" s="259">
        <v>7.5</v>
      </c>
      <c r="G43" s="242">
        <v>4.0999999999999996</v>
      </c>
      <c r="H43" s="220">
        <v>2.9</v>
      </c>
      <c r="I43" s="221">
        <v>1.9</v>
      </c>
      <c r="J43" s="218">
        <v>1.9</v>
      </c>
      <c r="K43" s="218">
        <v>0.5</v>
      </c>
      <c r="L43" s="222">
        <v>1.4</v>
      </c>
      <c r="M43" s="223">
        <v>1.9</v>
      </c>
      <c r="N43" s="52">
        <v>2.6</v>
      </c>
      <c r="O43" s="191">
        <v>0.7</v>
      </c>
      <c r="P43" s="218">
        <v>0.8</v>
      </c>
      <c r="Q43" s="219">
        <v>20</v>
      </c>
      <c r="R43" s="52">
        <v>30</v>
      </c>
      <c r="S43" s="178"/>
    </row>
    <row r="44" spans="1:19" x14ac:dyDescent="0.2">
      <c r="A44" s="56"/>
      <c r="B44" s="51" t="s">
        <v>67</v>
      </c>
      <c r="C44" s="260">
        <v>0.16</v>
      </c>
      <c r="D44" s="264">
        <v>14.78</v>
      </c>
      <c r="E44" s="220">
        <v>5.4</v>
      </c>
      <c r="F44" s="259">
        <v>7.3</v>
      </c>
      <c r="G44" s="242">
        <v>4.2</v>
      </c>
      <c r="H44" s="220">
        <v>2.9</v>
      </c>
      <c r="I44" s="221">
        <v>1.9</v>
      </c>
      <c r="J44" s="218">
        <v>1.9</v>
      </c>
      <c r="K44" s="218">
        <v>0.5</v>
      </c>
      <c r="L44" s="222">
        <v>1.4</v>
      </c>
      <c r="M44" s="223">
        <v>1.9</v>
      </c>
      <c r="N44" s="52">
        <v>2.6</v>
      </c>
      <c r="O44" s="191">
        <v>0.7</v>
      </c>
      <c r="P44" s="218">
        <v>0.8</v>
      </c>
      <c r="Q44" s="219">
        <v>20</v>
      </c>
      <c r="R44" s="52">
        <v>30</v>
      </c>
      <c r="S44" s="178"/>
    </row>
    <row r="45" spans="1:19" ht="13.5" thickBot="1" x14ac:dyDescent="0.25">
      <c r="A45" s="57"/>
      <c r="B45" s="58" t="s">
        <v>68</v>
      </c>
      <c r="C45" s="227">
        <v>0.3</v>
      </c>
      <c r="D45" s="225">
        <v>22.1</v>
      </c>
      <c r="E45" s="229">
        <v>9.6</v>
      </c>
      <c r="F45" s="265">
        <v>8.8000000000000007</v>
      </c>
      <c r="G45" s="266">
        <v>4.5</v>
      </c>
      <c r="H45" s="229">
        <v>3.2</v>
      </c>
      <c r="I45" s="230">
        <v>2.1</v>
      </c>
      <c r="J45" s="227">
        <v>3.6</v>
      </c>
      <c r="K45" s="227">
        <v>1</v>
      </c>
      <c r="L45" s="231">
        <v>2.5</v>
      </c>
      <c r="M45" s="232">
        <v>3.6</v>
      </c>
      <c r="N45" s="233">
        <v>4.9000000000000004</v>
      </c>
      <c r="O45" s="191">
        <v>1</v>
      </c>
      <c r="P45" s="227">
        <v>1.5</v>
      </c>
      <c r="Q45" s="228">
        <v>20</v>
      </c>
      <c r="R45" s="233">
        <v>30</v>
      </c>
      <c r="S45" s="178"/>
    </row>
    <row r="46" spans="1:19" x14ac:dyDescent="0.2">
      <c r="A46" s="243" t="s">
        <v>95</v>
      </c>
      <c r="B46" s="244"/>
      <c r="C46" s="267"/>
      <c r="D46" s="246"/>
      <c r="E46" s="247"/>
      <c r="F46" s="248"/>
      <c r="G46" s="268"/>
      <c r="H46" s="247"/>
      <c r="I46" s="269"/>
      <c r="J46" s="270"/>
      <c r="K46" s="271" t="s">
        <v>287</v>
      </c>
      <c r="L46" s="272"/>
      <c r="M46" s="273" t="s">
        <v>287</v>
      </c>
      <c r="N46" s="274"/>
      <c r="O46" s="275"/>
      <c r="P46" s="267"/>
      <c r="Q46" s="276"/>
      <c r="R46" s="277"/>
      <c r="S46" s="278"/>
    </row>
    <row r="47" spans="1:19" x14ac:dyDescent="0.2">
      <c r="A47" s="56"/>
      <c r="B47" s="51" t="s">
        <v>69</v>
      </c>
      <c r="C47" s="279">
        <v>4.0000000000000001E-3</v>
      </c>
      <c r="D47" s="264">
        <v>0.85</v>
      </c>
      <c r="E47" s="261">
        <v>0.44</v>
      </c>
      <c r="F47" s="280">
        <v>0.38</v>
      </c>
      <c r="G47" s="242"/>
      <c r="H47" s="281"/>
      <c r="I47" s="282"/>
      <c r="J47" s="236"/>
      <c r="K47" s="218">
        <v>3.7</v>
      </c>
      <c r="L47" s="283"/>
      <c r="M47" s="284"/>
      <c r="N47" s="226">
        <v>24.5</v>
      </c>
      <c r="O47" s="285">
        <v>0</v>
      </c>
      <c r="P47" s="286">
        <v>0</v>
      </c>
      <c r="Q47" s="235">
        <v>40</v>
      </c>
      <c r="R47" s="226">
        <v>40</v>
      </c>
      <c r="S47" s="278"/>
    </row>
    <row r="48" spans="1:19" x14ac:dyDescent="0.2">
      <c r="A48" s="56"/>
      <c r="B48" s="51" t="s">
        <v>70</v>
      </c>
      <c r="C48" s="279">
        <v>4.0000000000000001E-3</v>
      </c>
      <c r="D48" s="264">
        <v>0.81</v>
      </c>
      <c r="E48" s="261">
        <v>0.39</v>
      </c>
      <c r="F48" s="280">
        <v>0.38</v>
      </c>
      <c r="G48" s="242"/>
      <c r="H48" s="281"/>
      <c r="I48" s="282"/>
      <c r="J48" s="236"/>
      <c r="K48" s="218">
        <v>3.7</v>
      </c>
      <c r="L48" s="283"/>
      <c r="M48" s="284"/>
      <c r="N48" s="226">
        <v>24.5</v>
      </c>
      <c r="O48" s="285">
        <v>0</v>
      </c>
      <c r="P48" s="286">
        <v>0</v>
      </c>
      <c r="Q48" s="235">
        <v>40</v>
      </c>
      <c r="R48" s="226">
        <v>40</v>
      </c>
      <c r="S48" s="278"/>
    </row>
    <row r="49" spans="1:19" x14ac:dyDescent="0.2">
      <c r="A49" s="56"/>
      <c r="B49" s="51" t="s">
        <v>71</v>
      </c>
      <c r="C49" s="279">
        <v>4.0000000000000001E-3</v>
      </c>
      <c r="D49" s="264">
        <v>0.32</v>
      </c>
      <c r="E49" s="261">
        <v>0.21</v>
      </c>
      <c r="F49" s="280">
        <v>0.15</v>
      </c>
      <c r="G49" s="242"/>
      <c r="H49" s="281"/>
      <c r="I49" s="282"/>
      <c r="J49" s="218">
        <v>0.1</v>
      </c>
      <c r="K49" s="218">
        <v>2.2999999999999998</v>
      </c>
      <c r="L49" s="283"/>
      <c r="M49" s="284"/>
      <c r="N49" s="226">
        <v>8.4</v>
      </c>
      <c r="O49" s="285">
        <v>0</v>
      </c>
      <c r="P49" s="286">
        <v>0</v>
      </c>
      <c r="Q49" s="235">
        <v>40</v>
      </c>
      <c r="R49" s="226">
        <v>40</v>
      </c>
      <c r="S49" s="278"/>
    </row>
    <row r="50" spans="1:19" x14ac:dyDescent="0.2">
      <c r="A50" s="56"/>
      <c r="B50" s="51" t="s">
        <v>72</v>
      </c>
      <c r="C50" s="279">
        <v>4.0000000000000001E-3</v>
      </c>
      <c r="D50" s="264">
        <v>0.3</v>
      </c>
      <c r="E50" s="261">
        <v>0.18</v>
      </c>
      <c r="F50" s="280">
        <v>0.15</v>
      </c>
      <c r="G50" s="242"/>
      <c r="H50" s="281"/>
      <c r="I50" s="282"/>
      <c r="J50" s="218">
        <v>0.1</v>
      </c>
      <c r="K50" s="218">
        <v>2.2999999999999998</v>
      </c>
      <c r="L50" s="283"/>
      <c r="M50" s="284"/>
      <c r="N50" s="226">
        <v>8.4</v>
      </c>
      <c r="O50" s="285">
        <v>0</v>
      </c>
      <c r="P50" s="286">
        <v>0</v>
      </c>
      <c r="Q50" s="235">
        <v>40</v>
      </c>
      <c r="R50" s="226">
        <v>40</v>
      </c>
      <c r="S50" s="278"/>
    </row>
    <row r="51" spans="1:19" x14ac:dyDescent="0.2">
      <c r="A51" s="47"/>
      <c r="B51" s="60" t="s">
        <v>73</v>
      </c>
      <c r="C51" s="279">
        <v>4.0000000000000001E-3</v>
      </c>
      <c r="D51" s="264">
        <v>0.52</v>
      </c>
      <c r="E51" s="261">
        <v>0.25</v>
      </c>
      <c r="F51" s="280">
        <v>0.28000000000000003</v>
      </c>
      <c r="G51" s="242"/>
      <c r="H51" s="281"/>
      <c r="I51" s="282"/>
      <c r="J51" s="236"/>
      <c r="K51" s="218">
        <v>1.8</v>
      </c>
      <c r="L51" s="287"/>
      <c r="M51" s="284"/>
      <c r="N51" s="226">
        <v>14.8</v>
      </c>
      <c r="O51" s="285">
        <v>0</v>
      </c>
      <c r="P51" s="286">
        <v>0</v>
      </c>
      <c r="Q51" s="235">
        <v>40</v>
      </c>
      <c r="R51" s="226">
        <v>40</v>
      </c>
      <c r="S51" s="178"/>
    </row>
    <row r="52" spans="1:19" x14ac:dyDescent="0.2">
      <c r="A52" s="47"/>
      <c r="B52" s="288" t="s">
        <v>74</v>
      </c>
      <c r="C52" s="279">
        <v>4.0000000000000001E-3</v>
      </c>
      <c r="D52" s="264">
        <v>0.48</v>
      </c>
      <c r="E52" s="261">
        <v>0.23</v>
      </c>
      <c r="F52" s="280">
        <v>0.28000000000000003</v>
      </c>
      <c r="G52" s="242"/>
      <c r="H52" s="281"/>
      <c r="I52" s="282"/>
      <c r="J52" s="236"/>
      <c r="K52" s="218">
        <v>1.8</v>
      </c>
      <c r="L52" s="287"/>
      <c r="M52" s="284"/>
      <c r="N52" s="226">
        <v>14.8</v>
      </c>
      <c r="O52" s="285">
        <v>0</v>
      </c>
      <c r="P52" s="286">
        <v>0</v>
      </c>
      <c r="Q52" s="235">
        <v>40</v>
      </c>
      <c r="R52" s="226">
        <v>40</v>
      </c>
      <c r="S52" s="178"/>
    </row>
    <row r="53" spans="1:19" x14ac:dyDescent="0.2">
      <c r="A53" s="47"/>
      <c r="B53" s="60" t="s">
        <v>75</v>
      </c>
      <c r="C53" s="279">
        <v>4.0000000000000001E-3</v>
      </c>
      <c r="D53" s="264">
        <v>2.42</v>
      </c>
      <c r="E53" s="261">
        <v>1.36</v>
      </c>
      <c r="F53" s="280">
        <v>1.17</v>
      </c>
      <c r="G53" s="242"/>
      <c r="H53" s="281"/>
      <c r="I53" s="282"/>
      <c r="J53" s="218">
        <v>0.3</v>
      </c>
      <c r="K53" s="218">
        <v>21.6</v>
      </c>
      <c r="L53" s="289"/>
      <c r="M53" s="284"/>
      <c r="N53" s="226">
        <v>54.6</v>
      </c>
      <c r="O53" s="285">
        <v>0</v>
      </c>
      <c r="P53" s="286">
        <v>0</v>
      </c>
      <c r="Q53" s="235">
        <v>40</v>
      </c>
      <c r="R53" s="226">
        <v>40</v>
      </c>
      <c r="S53" s="178"/>
    </row>
    <row r="54" spans="1:19" x14ac:dyDescent="0.2">
      <c r="A54" s="47"/>
      <c r="B54" s="60" t="s">
        <v>76</v>
      </c>
      <c r="C54" s="279">
        <v>4.0000000000000001E-3</v>
      </c>
      <c r="D54" s="264">
        <v>2.25</v>
      </c>
      <c r="E54" s="261">
        <v>1.06</v>
      </c>
      <c r="F54" s="280">
        <v>1.1100000000000001</v>
      </c>
      <c r="G54" s="242"/>
      <c r="H54" s="281"/>
      <c r="I54" s="282"/>
      <c r="J54" s="218">
        <v>0.3</v>
      </c>
      <c r="K54" s="218">
        <v>21.6</v>
      </c>
      <c r="L54" s="289"/>
      <c r="M54" s="284"/>
      <c r="N54" s="226">
        <v>54.6</v>
      </c>
      <c r="O54" s="285">
        <v>0</v>
      </c>
      <c r="P54" s="286">
        <v>0</v>
      </c>
      <c r="Q54" s="235">
        <v>40</v>
      </c>
      <c r="R54" s="226">
        <v>40</v>
      </c>
      <c r="S54" s="178"/>
    </row>
    <row r="55" spans="1:19" x14ac:dyDescent="0.2">
      <c r="A55" s="47"/>
      <c r="B55" s="60" t="s">
        <v>77</v>
      </c>
      <c r="C55" s="279">
        <v>4.0000000000000001E-3</v>
      </c>
      <c r="D55" s="264">
        <v>1.71</v>
      </c>
      <c r="E55" s="261">
        <v>0.93</v>
      </c>
      <c r="F55" s="280">
        <v>0.96</v>
      </c>
      <c r="G55" s="242"/>
      <c r="H55" s="281"/>
      <c r="I55" s="282"/>
      <c r="J55" s="236"/>
      <c r="K55" s="218">
        <v>17.399999999999999</v>
      </c>
      <c r="L55" s="289"/>
      <c r="M55" s="284"/>
      <c r="N55" s="226">
        <v>60.8</v>
      </c>
      <c r="O55" s="285">
        <v>0</v>
      </c>
      <c r="P55" s="286">
        <v>0</v>
      </c>
      <c r="Q55" s="235">
        <v>40</v>
      </c>
      <c r="R55" s="226">
        <v>40</v>
      </c>
      <c r="S55" s="178"/>
    </row>
    <row r="56" spans="1:19" x14ac:dyDescent="0.2">
      <c r="A56" s="47"/>
      <c r="B56" s="60" t="s">
        <v>78</v>
      </c>
      <c r="C56" s="279">
        <v>4.0000000000000001E-3</v>
      </c>
      <c r="D56" s="264">
        <v>1.62</v>
      </c>
      <c r="E56" s="261">
        <v>0.66</v>
      </c>
      <c r="F56" s="280">
        <v>0.92</v>
      </c>
      <c r="G56" s="242"/>
      <c r="H56" s="281"/>
      <c r="I56" s="282"/>
      <c r="J56" s="236"/>
      <c r="K56" s="218">
        <v>17.399999999999999</v>
      </c>
      <c r="L56" s="289"/>
      <c r="M56" s="284"/>
      <c r="N56" s="226">
        <v>60.8</v>
      </c>
      <c r="O56" s="285">
        <v>0</v>
      </c>
      <c r="P56" s="286">
        <v>0</v>
      </c>
      <c r="Q56" s="235">
        <v>40</v>
      </c>
      <c r="R56" s="226">
        <v>40</v>
      </c>
      <c r="S56" s="178"/>
    </row>
    <row r="57" spans="1:19" x14ac:dyDescent="0.2">
      <c r="A57" s="56"/>
      <c r="B57" s="51" t="s">
        <v>79</v>
      </c>
      <c r="C57" s="279">
        <v>4.0000000000000001E-3</v>
      </c>
      <c r="D57" s="264">
        <v>1.87</v>
      </c>
      <c r="E57" s="261">
        <v>0.57999999999999996</v>
      </c>
      <c r="F57" s="280">
        <v>1.79</v>
      </c>
      <c r="G57" s="242"/>
      <c r="H57" s="281"/>
      <c r="I57" s="282"/>
      <c r="J57" s="236"/>
      <c r="K57" s="218">
        <v>53.3</v>
      </c>
      <c r="L57" s="289"/>
      <c r="M57" s="284"/>
      <c r="N57" s="52">
        <v>105.3</v>
      </c>
      <c r="O57" s="285">
        <v>0</v>
      </c>
      <c r="P57" s="286">
        <v>0</v>
      </c>
      <c r="Q57" s="235">
        <v>40</v>
      </c>
      <c r="R57" s="226">
        <v>40</v>
      </c>
      <c r="S57" s="178"/>
    </row>
    <row r="58" spans="1:19" x14ac:dyDescent="0.2">
      <c r="A58" s="56"/>
      <c r="B58" s="60" t="s">
        <v>80</v>
      </c>
      <c r="C58" s="279">
        <v>4.0000000000000001E-3</v>
      </c>
      <c r="D58" s="264">
        <v>0.71</v>
      </c>
      <c r="E58" s="261">
        <v>0.4</v>
      </c>
      <c r="F58" s="280">
        <v>0.38</v>
      </c>
      <c r="G58" s="242"/>
      <c r="H58" s="281"/>
      <c r="I58" s="282"/>
      <c r="J58" s="236"/>
      <c r="K58" s="218">
        <v>6.4</v>
      </c>
      <c r="L58" s="290"/>
      <c r="M58" s="284"/>
      <c r="N58" s="226">
        <v>67.400000000000006</v>
      </c>
      <c r="O58" s="285">
        <v>0</v>
      </c>
      <c r="P58" s="286">
        <v>0</v>
      </c>
      <c r="Q58" s="235">
        <v>40</v>
      </c>
      <c r="R58" s="226">
        <v>40</v>
      </c>
      <c r="S58" s="40"/>
    </row>
    <row r="59" spans="1:19" x14ac:dyDescent="0.2">
      <c r="A59" s="56"/>
      <c r="B59" s="60" t="s">
        <v>81</v>
      </c>
      <c r="C59" s="279">
        <v>4.0000000000000001E-3</v>
      </c>
      <c r="D59" s="264">
        <v>0.63</v>
      </c>
      <c r="E59" s="261">
        <v>0.4</v>
      </c>
      <c r="F59" s="280">
        <v>0.31</v>
      </c>
      <c r="G59" s="242"/>
      <c r="H59" s="281"/>
      <c r="I59" s="282"/>
      <c r="J59" s="236"/>
      <c r="K59" s="218">
        <v>6</v>
      </c>
      <c r="L59" s="289"/>
      <c r="M59" s="284"/>
      <c r="N59" s="226">
        <v>50</v>
      </c>
      <c r="O59" s="285">
        <v>0</v>
      </c>
      <c r="P59" s="286">
        <v>0</v>
      </c>
      <c r="Q59" s="235">
        <v>40</v>
      </c>
      <c r="R59" s="226">
        <v>40</v>
      </c>
      <c r="S59" s="178"/>
    </row>
    <row r="60" spans="1:19" ht="13.5" thickBot="1" x14ac:dyDescent="0.25">
      <c r="A60" s="61"/>
      <c r="B60" s="51" t="s">
        <v>82</v>
      </c>
      <c r="C60" s="279">
        <v>3.0000000000000001E-3</v>
      </c>
      <c r="D60" s="264">
        <v>0.64</v>
      </c>
      <c r="E60" s="261">
        <v>0.28000000000000003</v>
      </c>
      <c r="F60" s="280">
        <v>0.21</v>
      </c>
      <c r="G60" s="242"/>
      <c r="H60" s="281"/>
      <c r="I60" s="282"/>
      <c r="J60" s="236"/>
      <c r="K60" s="218">
        <v>1</v>
      </c>
      <c r="L60" s="289"/>
      <c r="M60" s="291"/>
      <c r="N60" s="292">
        <v>9.4</v>
      </c>
      <c r="O60" s="285">
        <v>0</v>
      </c>
      <c r="P60" s="286">
        <v>0</v>
      </c>
      <c r="Q60" s="235">
        <v>40</v>
      </c>
      <c r="R60" s="226">
        <v>40</v>
      </c>
      <c r="S60" s="178"/>
    </row>
    <row r="61" spans="1:19" x14ac:dyDescent="0.2">
      <c r="A61" s="243" t="s">
        <v>288</v>
      </c>
      <c r="B61" s="244"/>
      <c r="C61" s="245"/>
      <c r="D61" s="293"/>
      <c r="E61" s="294"/>
      <c r="F61" s="295"/>
      <c r="G61" s="268"/>
      <c r="H61" s="247"/>
      <c r="I61" s="269"/>
      <c r="J61" s="270"/>
      <c r="K61" s="267" t="s">
        <v>289</v>
      </c>
      <c r="L61" s="296"/>
      <c r="M61" s="296" t="s">
        <v>289</v>
      </c>
      <c r="N61" s="297"/>
      <c r="O61" s="248"/>
      <c r="P61" s="267"/>
      <c r="Q61" s="298"/>
      <c r="R61" s="277"/>
      <c r="S61" s="178"/>
    </row>
    <row r="62" spans="1:19" x14ac:dyDescent="0.2">
      <c r="A62" s="56"/>
      <c r="B62" s="51" t="s">
        <v>83</v>
      </c>
      <c r="C62" s="218">
        <v>0.1</v>
      </c>
      <c r="D62" s="235">
        <v>5.9</v>
      </c>
      <c r="E62" s="220">
        <v>1.9</v>
      </c>
      <c r="F62" s="221">
        <v>6.5</v>
      </c>
      <c r="G62" s="242"/>
      <c r="H62" s="281"/>
      <c r="I62" s="282"/>
      <c r="J62" s="236"/>
      <c r="K62" s="218">
        <v>0.2</v>
      </c>
      <c r="L62" s="299"/>
      <c r="M62" s="284"/>
      <c r="N62" s="226">
        <v>0.4</v>
      </c>
      <c r="O62" s="300">
        <v>0</v>
      </c>
      <c r="P62" s="286">
        <v>0</v>
      </c>
      <c r="Q62" s="235">
        <v>45</v>
      </c>
      <c r="R62" s="226">
        <v>45</v>
      </c>
      <c r="S62" s="178"/>
    </row>
    <row r="63" spans="1:19" x14ac:dyDescent="0.2">
      <c r="A63" s="56"/>
      <c r="B63" s="51" t="s">
        <v>84</v>
      </c>
      <c r="C63" s="218">
        <v>0.1</v>
      </c>
      <c r="D63" s="235">
        <v>14.2</v>
      </c>
      <c r="E63" s="220">
        <v>4.3</v>
      </c>
      <c r="F63" s="221">
        <v>15.5</v>
      </c>
      <c r="G63" s="242"/>
      <c r="H63" s="281"/>
      <c r="I63" s="282"/>
      <c r="J63" s="236"/>
      <c r="K63" s="218">
        <v>0.4</v>
      </c>
      <c r="L63" s="289"/>
      <c r="M63" s="284"/>
      <c r="N63" s="226">
        <v>1.1000000000000001</v>
      </c>
      <c r="O63" s="300">
        <v>0</v>
      </c>
      <c r="P63" s="286">
        <v>0</v>
      </c>
      <c r="Q63" s="235">
        <v>45</v>
      </c>
      <c r="R63" s="226">
        <v>45</v>
      </c>
      <c r="S63" s="178"/>
    </row>
    <row r="64" spans="1:19" x14ac:dyDescent="0.2">
      <c r="A64" s="56"/>
      <c r="B64" s="60" t="s">
        <v>85</v>
      </c>
      <c r="C64" s="218">
        <v>0.1</v>
      </c>
      <c r="D64" s="258">
        <v>15.2</v>
      </c>
      <c r="E64" s="220">
        <v>5.7</v>
      </c>
      <c r="F64" s="221">
        <v>18</v>
      </c>
      <c r="G64" s="242"/>
      <c r="H64" s="281"/>
      <c r="I64" s="282"/>
      <c r="J64" s="236"/>
      <c r="K64" s="218">
        <v>0.6</v>
      </c>
      <c r="L64" s="289"/>
      <c r="M64" s="284"/>
      <c r="N64" s="52">
        <v>1</v>
      </c>
      <c r="O64" s="300">
        <v>0</v>
      </c>
      <c r="P64" s="286">
        <v>0</v>
      </c>
      <c r="Q64" s="235">
        <v>45</v>
      </c>
      <c r="R64" s="226">
        <v>45</v>
      </c>
      <c r="S64" s="178"/>
    </row>
    <row r="65" spans="1:19" x14ac:dyDescent="0.2">
      <c r="A65" s="56"/>
      <c r="B65" s="60" t="s">
        <v>86</v>
      </c>
      <c r="C65" s="218">
        <v>0.7</v>
      </c>
      <c r="D65" s="258">
        <v>33.4</v>
      </c>
      <c r="E65" s="220">
        <v>15.3</v>
      </c>
      <c r="F65" s="221">
        <v>51</v>
      </c>
      <c r="G65" s="242"/>
      <c r="H65" s="281"/>
      <c r="I65" s="282"/>
      <c r="J65" s="236"/>
      <c r="K65" s="218">
        <v>4</v>
      </c>
      <c r="L65" s="289"/>
      <c r="M65" s="284"/>
      <c r="N65" s="52">
        <v>6.8</v>
      </c>
      <c r="O65" s="300">
        <v>0</v>
      </c>
      <c r="P65" s="286">
        <v>0</v>
      </c>
      <c r="Q65" s="235">
        <v>45</v>
      </c>
      <c r="R65" s="226">
        <v>45</v>
      </c>
      <c r="S65" s="178"/>
    </row>
    <row r="66" spans="1:19" x14ac:dyDescent="0.2">
      <c r="A66" s="56"/>
      <c r="B66" s="60" t="s">
        <v>87</v>
      </c>
      <c r="C66" s="218">
        <v>0.7</v>
      </c>
      <c r="D66" s="258">
        <v>53.6</v>
      </c>
      <c r="E66" s="220">
        <v>23.4</v>
      </c>
      <c r="F66" s="221">
        <v>67</v>
      </c>
      <c r="G66" s="242"/>
      <c r="H66" s="281"/>
      <c r="I66" s="282"/>
      <c r="J66" s="236"/>
      <c r="K66" s="218">
        <v>6</v>
      </c>
      <c r="L66" s="289"/>
      <c r="M66" s="284"/>
      <c r="N66" s="52">
        <v>11.2</v>
      </c>
      <c r="O66" s="300">
        <v>0</v>
      </c>
      <c r="P66" s="286">
        <v>0</v>
      </c>
      <c r="Q66" s="235">
        <v>45</v>
      </c>
      <c r="R66" s="226">
        <v>45</v>
      </c>
      <c r="S66" s="178"/>
    </row>
    <row r="67" spans="1:19" x14ac:dyDescent="0.2">
      <c r="A67" s="56"/>
      <c r="B67" s="51" t="s">
        <v>88</v>
      </c>
      <c r="C67" s="279">
        <v>3.0000000000000001E-3</v>
      </c>
      <c r="D67" s="235">
        <v>9.6999999999999993</v>
      </c>
      <c r="E67" s="220">
        <v>5.4</v>
      </c>
      <c r="F67" s="221">
        <v>8.3000000000000007</v>
      </c>
      <c r="G67" s="242"/>
      <c r="H67" s="281"/>
      <c r="I67" s="282"/>
      <c r="J67" s="218">
        <v>0.6</v>
      </c>
      <c r="K67" s="218">
        <v>0.3</v>
      </c>
      <c r="L67" s="289"/>
      <c r="M67" s="284"/>
      <c r="N67" s="52">
        <v>0.8</v>
      </c>
      <c r="O67" s="300">
        <v>0</v>
      </c>
      <c r="P67" s="286">
        <v>0</v>
      </c>
      <c r="Q67" s="235">
        <v>45</v>
      </c>
      <c r="R67" s="226">
        <v>45</v>
      </c>
      <c r="S67" s="178"/>
    </row>
    <row r="68" spans="1:19" x14ac:dyDescent="0.2">
      <c r="A68" s="62"/>
      <c r="B68" s="51" t="s">
        <v>89</v>
      </c>
      <c r="C68" s="260">
        <v>0.15</v>
      </c>
      <c r="D68" s="235">
        <v>15.8</v>
      </c>
      <c r="E68" s="220">
        <v>4.5</v>
      </c>
      <c r="F68" s="221">
        <v>17.600000000000001</v>
      </c>
      <c r="G68" s="242"/>
      <c r="H68" s="281"/>
      <c r="I68" s="282"/>
      <c r="J68" s="236"/>
      <c r="K68" s="218"/>
      <c r="L68" s="289"/>
      <c r="M68" s="284"/>
      <c r="N68" s="52"/>
      <c r="O68" s="300">
        <v>0</v>
      </c>
      <c r="P68" s="286">
        <v>0</v>
      </c>
      <c r="Q68" s="235">
        <v>45</v>
      </c>
      <c r="R68" s="226">
        <v>45</v>
      </c>
      <c r="S68" s="178"/>
    </row>
    <row r="69" spans="1:19" x14ac:dyDescent="0.2">
      <c r="A69" s="62"/>
      <c r="B69" s="51" t="s">
        <v>90</v>
      </c>
      <c r="C69" s="260">
        <v>0.05</v>
      </c>
      <c r="D69" s="235">
        <v>5.8</v>
      </c>
      <c r="E69" s="220">
        <v>1.7</v>
      </c>
      <c r="F69" s="221">
        <v>6.4</v>
      </c>
      <c r="G69" s="242"/>
      <c r="H69" s="281"/>
      <c r="I69" s="301"/>
      <c r="J69" s="236"/>
      <c r="K69" s="218"/>
      <c r="L69" s="289"/>
      <c r="M69" s="284"/>
      <c r="N69" s="52"/>
      <c r="O69" s="285"/>
      <c r="P69" s="286"/>
      <c r="Q69" s="235">
        <v>45</v>
      </c>
      <c r="R69" s="226">
        <v>45</v>
      </c>
      <c r="S69" s="178"/>
    </row>
    <row r="70" spans="1:19" x14ac:dyDescent="0.2">
      <c r="A70" s="61"/>
      <c r="B70" s="51" t="s">
        <v>91</v>
      </c>
      <c r="C70" s="218">
        <v>0.3</v>
      </c>
      <c r="D70" s="235">
        <v>22.7</v>
      </c>
      <c r="E70" s="220">
        <v>7.2</v>
      </c>
      <c r="F70" s="221">
        <v>27</v>
      </c>
      <c r="G70" s="242"/>
      <c r="H70" s="281"/>
      <c r="I70" s="282"/>
      <c r="J70" s="236"/>
      <c r="K70" s="218"/>
      <c r="L70" s="289"/>
      <c r="M70" s="284"/>
      <c r="N70" s="52"/>
      <c r="O70" s="300">
        <v>0</v>
      </c>
      <c r="P70" s="286">
        <v>0</v>
      </c>
      <c r="Q70" s="235">
        <v>45</v>
      </c>
      <c r="R70" s="226">
        <v>45</v>
      </c>
      <c r="S70" s="178"/>
    </row>
    <row r="71" spans="1:19" x14ac:dyDescent="0.2">
      <c r="A71" s="61"/>
      <c r="B71" s="51" t="s">
        <v>92</v>
      </c>
      <c r="C71" s="260">
        <v>0.1</v>
      </c>
      <c r="D71" s="235">
        <v>8.3000000000000007</v>
      </c>
      <c r="E71" s="220">
        <v>2.7</v>
      </c>
      <c r="F71" s="221">
        <v>9.9</v>
      </c>
      <c r="G71" s="242"/>
      <c r="H71" s="281"/>
      <c r="I71" s="301"/>
      <c r="J71" s="236"/>
      <c r="K71" s="218"/>
      <c r="L71" s="289"/>
      <c r="M71" s="284"/>
      <c r="N71" s="52"/>
      <c r="O71" s="285"/>
      <c r="P71" s="286"/>
      <c r="Q71" s="235">
        <v>45</v>
      </c>
      <c r="R71" s="226">
        <v>45</v>
      </c>
      <c r="S71" s="178"/>
    </row>
    <row r="72" spans="1:19" ht="13.5" thickBot="1" x14ac:dyDescent="0.25">
      <c r="A72" s="63"/>
      <c r="B72" s="49" t="s">
        <v>93</v>
      </c>
      <c r="C72" s="196">
        <v>0.3</v>
      </c>
      <c r="D72" s="302">
        <v>22.7</v>
      </c>
      <c r="E72" s="303">
        <v>7.2</v>
      </c>
      <c r="F72" s="304">
        <v>27</v>
      </c>
      <c r="G72" s="305"/>
      <c r="H72" s="306"/>
      <c r="I72" s="307"/>
      <c r="J72" s="308"/>
      <c r="K72" s="196">
        <v>2</v>
      </c>
      <c r="L72" s="309"/>
      <c r="M72" s="310"/>
      <c r="N72" s="311">
        <v>3.4</v>
      </c>
      <c r="O72" s="312">
        <v>0</v>
      </c>
      <c r="P72" s="313">
        <v>0</v>
      </c>
      <c r="Q72" s="302">
        <v>45</v>
      </c>
      <c r="R72" s="311">
        <v>45</v>
      </c>
      <c r="S72" s="178"/>
    </row>
  </sheetData>
  <customSheetViews>
    <customSheetView guid="{DDA6E6AA-9473-49A0-A3A2-76E4959B79AF}" state="hidden">
      <selection activeCell="B6" sqref="B6"/>
      <pageMargins left="0.7" right="0.7" top="0.78740157499999996" bottom="0.78740157499999996" header="0.3" footer="0.3"/>
    </customSheetView>
  </customSheetViews>
  <mergeCells count="7">
    <mergeCell ref="L7:N7"/>
    <mergeCell ref="G5:J5"/>
    <mergeCell ref="L5:N5"/>
    <mergeCell ref="Q5:R5"/>
    <mergeCell ref="G6:J6"/>
    <mergeCell ref="L6:N6"/>
    <mergeCell ref="Q6:R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111"/>
  <sheetViews>
    <sheetView topLeftCell="A19" workbookViewId="0">
      <selection activeCell="B41" sqref="B41"/>
    </sheetView>
  </sheetViews>
  <sheetFormatPr baseColWidth="10" defaultRowHeight="12.75" x14ac:dyDescent="0.2"/>
  <cols>
    <col min="1" max="1" width="3.7109375" style="128" customWidth="1"/>
    <col min="2" max="2" width="37.140625" style="128" customWidth="1"/>
    <col min="3" max="3" width="7.140625" style="121" customWidth="1"/>
    <col min="4" max="4" width="6.7109375" style="121" customWidth="1"/>
    <col min="5" max="5" width="3" style="121" customWidth="1"/>
    <col min="6" max="6" width="4.85546875" style="131" customWidth="1"/>
    <col min="7" max="7" width="6.7109375" style="128" customWidth="1"/>
    <col min="8" max="8" width="11.42578125" style="175"/>
    <col min="9" max="9" width="11.42578125" style="128"/>
    <col min="10" max="11" width="11.42578125" style="121"/>
    <col min="12" max="12" width="11.42578125" style="128"/>
    <col min="13" max="18" width="11.42578125" style="121"/>
    <col min="19" max="20" width="11.42578125" style="129"/>
  </cols>
  <sheetData>
    <row r="1" spans="1:10" x14ac:dyDescent="0.2">
      <c r="A1" s="120" t="s">
        <v>215</v>
      </c>
      <c r="B1" s="120"/>
      <c r="D1" s="122"/>
      <c r="E1" s="123"/>
      <c r="F1" s="124"/>
      <c r="G1" s="125"/>
      <c r="H1" s="126"/>
      <c r="I1" s="127" t="s">
        <v>216</v>
      </c>
    </row>
    <row r="2" spans="1:10" x14ac:dyDescent="0.2">
      <c r="A2" s="130" t="s">
        <v>217</v>
      </c>
      <c r="H2" s="126"/>
    </row>
    <row r="3" spans="1:10" x14ac:dyDescent="0.2">
      <c r="A3" s="128" t="s">
        <v>218</v>
      </c>
      <c r="C3" s="132"/>
      <c r="D3" s="132"/>
      <c r="H3" s="133"/>
    </row>
    <row r="4" spans="1:10" ht="13.5" thickBot="1" x14ac:dyDescent="0.25">
      <c r="A4" s="134" t="s">
        <v>219</v>
      </c>
      <c r="B4" s="132"/>
      <c r="H4" s="129"/>
    </row>
    <row r="5" spans="1:10" ht="12.75" customHeight="1" x14ac:dyDescent="0.2">
      <c r="A5" s="135"/>
      <c r="B5" s="136"/>
      <c r="C5" s="137"/>
      <c r="D5" s="137"/>
      <c r="E5" s="1109" t="s">
        <v>220</v>
      </c>
      <c r="F5" s="138" t="s">
        <v>221</v>
      </c>
      <c r="G5" s="139"/>
      <c r="H5" s="129"/>
    </row>
    <row r="6" spans="1:10" x14ac:dyDescent="0.2">
      <c r="A6" s="2370" t="s">
        <v>222</v>
      </c>
      <c r="B6" s="2371"/>
      <c r="C6" s="140" t="s">
        <v>223</v>
      </c>
      <c r="D6" s="140" t="s">
        <v>224</v>
      </c>
      <c r="E6" s="1110"/>
      <c r="F6" s="141" t="s">
        <v>225</v>
      </c>
      <c r="G6" s="142"/>
      <c r="H6" s="129"/>
    </row>
    <row r="7" spans="1:10" ht="15" thickBot="1" x14ac:dyDescent="0.3">
      <c r="A7" s="143"/>
      <c r="B7" s="144"/>
      <c r="C7" s="145"/>
      <c r="D7" s="145"/>
      <c r="E7" s="1111"/>
      <c r="F7" s="146" t="s">
        <v>2</v>
      </c>
      <c r="G7" s="147" t="s">
        <v>226</v>
      </c>
      <c r="H7" s="1165" t="s">
        <v>987</v>
      </c>
      <c r="I7" s="1165" t="s">
        <v>988</v>
      </c>
      <c r="J7" s="1165" t="s">
        <v>989</v>
      </c>
    </row>
    <row r="8" spans="1:10" x14ac:dyDescent="0.2">
      <c r="A8" s="135" t="s">
        <v>227</v>
      </c>
      <c r="B8" s="148"/>
      <c r="C8" s="149"/>
      <c r="D8" s="149"/>
      <c r="E8" s="150"/>
      <c r="F8" s="151"/>
      <c r="G8" s="152"/>
      <c r="H8" s="1166"/>
      <c r="I8" s="1166"/>
      <c r="J8" s="1166"/>
    </row>
    <row r="9" spans="1:10" ht="14.25" x14ac:dyDescent="0.2">
      <c r="A9" s="153">
        <v>11</v>
      </c>
      <c r="B9" s="154" t="s">
        <v>228</v>
      </c>
      <c r="C9" s="155">
        <v>1</v>
      </c>
      <c r="D9" s="155">
        <v>1</v>
      </c>
      <c r="E9" s="156" t="s">
        <v>229</v>
      </c>
      <c r="F9" s="157">
        <v>6</v>
      </c>
      <c r="G9" s="158">
        <v>3.3</v>
      </c>
      <c r="H9" s="1167">
        <v>1.4</v>
      </c>
      <c r="I9" s="1167">
        <v>4.2</v>
      </c>
      <c r="J9" s="1167">
        <v>1.7</v>
      </c>
    </row>
    <row r="10" spans="1:10" ht="14.25" x14ac:dyDescent="0.2">
      <c r="A10" s="153">
        <v>12</v>
      </c>
      <c r="B10" s="159" t="s">
        <v>230</v>
      </c>
      <c r="C10" s="155">
        <v>1</v>
      </c>
      <c r="D10" s="155">
        <v>1</v>
      </c>
      <c r="E10" s="156" t="s">
        <v>229</v>
      </c>
      <c r="F10" s="160">
        <v>7.5</v>
      </c>
      <c r="G10" s="158">
        <v>4.2</v>
      </c>
      <c r="H10" s="1167">
        <v>1.7</v>
      </c>
      <c r="I10" s="1167">
        <v>5.3</v>
      </c>
      <c r="J10" s="1167">
        <v>2.1</v>
      </c>
    </row>
    <row r="11" spans="1:10" ht="14.25" x14ac:dyDescent="0.2">
      <c r="A11" s="153">
        <v>14</v>
      </c>
      <c r="B11" s="154" t="s">
        <v>231</v>
      </c>
      <c r="C11" s="155">
        <v>1</v>
      </c>
      <c r="D11" s="155">
        <v>1</v>
      </c>
      <c r="E11" s="156" t="s">
        <v>229</v>
      </c>
      <c r="F11" s="160">
        <v>6</v>
      </c>
      <c r="G11" s="158">
        <v>3.1</v>
      </c>
      <c r="H11" s="1167">
        <v>1.4</v>
      </c>
      <c r="I11" s="1167">
        <v>3.7</v>
      </c>
      <c r="J11" s="1167">
        <v>1.6</v>
      </c>
    </row>
    <row r="12" spans="1:10" ht="14.25" x14ac:dyDescent="0.2">
      <c r="A12" s="153">
        <v>15</v>
      </c>
      <c r="B12" s="161" t="s">
        <v>232</v>
      </c>
      <c r="C12" s="155">
        <v>1</v>
      </c>
      <c r="D12" s="155">
        <v>1</v>
      </c>
      <c r="E12" s="156" t="s">
        <v>229</v>
      </c>
      <c r="F12" s="157">
        <v>7.5</v>
      </c>
      <c r="G12" s="158">
        <v>3.9</v>
      </c>
      <c r="H12" s="1167">
        <v>1.7</v>
      </c>
      <c r="I12" s="1167">
        <v>4.7</v>
      </c>
      <c r="J12" s="1167">
        <v>2</v>
      </c>
    </row>
    <row r="13" spans="1:10" ht="14.25" x14ac:dyDescent="0.2">
      <c r="A13" s="153">
        <v>16</v>
      </c>
      <c r="B13" s="161" t="s">
        <v>233</v>
      </c>
      <c r="C13" s="155">
        <v>1</v>
      </c>
      <c r="D13" s="155">
        <v>1</v>
      </c>
      <c r="E13" s="156" t="s">
        <v>229</v>
      </c>
      <c r="F13" s="157">
        <v>7.5</v>
      </c>
      <c r="G13" s="158">
        <v>4.0999999999999996</v>
      </c>
      <c r="H13" s="1167">
        <v>1.9</v>
      </c>
      <c r="I13" s="1167">
        <v>4</v>
      </c>
      <c r="J13" s="1167">
        <v>2.1</v>
      </c>
    </row>
    <row r="14" spans="1:10" ht="25.5" x14ac:dyDescent="0.2">
      <c r="A14" s="153">
        <v>17</v>
      </c>
      <c r="B14" s="161" t="s">
        <v>234</v>
      </c>
      <c r="C14" s="155">
        <v>1</v>
      </c>
      <c r="D14" s="155">
        <v>2</v>
      </c>
      <c r="E14" s="156" t="s">
        <v>40</v>
      </c>
      <c r="F14" s="157">
        <v>18.5</v>
      </c>
      <c r="G14" s="158">
        <v>4.2</v>
      </c>
      <c r="H14" s="1167">
        <v>2.9</v>
      </c>
      <c r="I14" s="1167">
        <v>5.6</v>
      </c>
      <c r="J14" s="1167">
        <v>0.4</v>
      </c>
    </row>
    <row r="15" spans="1:10" x14ac:dyDescent="0.2">
      <c r="A15" s="153">
        <v>18</v>
      </c>
      <c r="B15" s="161" t="s">
        <v>235</v>
      </c>
      <c r="C15" s="155">
        <v>1</v>
      </c>
      <c r="D15" s="155">
        <v>2</v>
      </c>
      <c r="E15" s="156" t="s">
        <v>40</v>
      </c>
      <c r="F15" s="157">
        <v>23.1</v>
      </c>
      <c r="G15" s="158">
        <v>4.2</v>
      </c>
      <c r="H15" s="1167">
        <v>2.2999999999999998</v>
      </c>
      <c r="I15" s="1167">
        <v>7.8</v>
      </c>
      <c r="J15" s="1167">
        <v>0.4</v>
      </c>
    </row>
    <row r="16" spans="1:10" ht="14.25" x14ac:dyDescent="0.2">
      <c r="A16" s="153">
        <v>19</v>
      </c>
      <c r="B16" s="161" t="s">
        <v>236</v>
      </c>
      <c r="C16" s="155">
        <v>1</v>
      </c>
      <c r="D16" s="155">
        <v>1</v>
      </c>
      <c r="E16" s="156" t="s">
        <v>229</v>
      </c>
      <c r="F16" s="162">
        <v>1.8</v>
      </c>
      <c r="G16" s="158">
        <v>3.2</v>
      </c>
      <c r="H16" s="1167">
        <v>0</v>
      </c>
      <c r="I16" s="1167">
        <v>7.9</v>
      </c>
      <c r="J16" s="1167">
        <v>2.9</v>
      </c>
    </row>
    <row r="17" spans="1:10" x14ac:dyDescent="0.2">
      <c r="A17" s="163" t="s">
        <v>237</v>
      </c>
      <c r="B17" s="164"/>
      <c r="C17" s="165"/>
      <c r="D17" s="165"/>
      <c r="E17" s="166"/>
      <c r="F17" s="167"/>
      <c r="G17" s="168"/>
      <c r="H17" s="1168"/>
      <c r="I17" s="1168"/>
      <c r="J17" s="1168"/>
    </row>
    <row r="18" spans="1:10" ht="25.5" x14ac:dyDescent="0.2">
      <c r="A18" s="153">
        <v>21</v>
      </c>
      <c r="B18" s="169" t="s">
        <v>238</v>
      </c>
      <c r="C18" s="170">
        <v>2</v>
      </c>
      <c r="D18" s="170">
        <v>1</v>
      </c>
      <c r="E18" s="156" t="s">
        <v>229</v>
      </c>
      <c r="F18" s="157">
        <v>5</v>
      </c>
      <c r="G18" s="158">
        <v>4.2</v>
      </c>
      <c r="H18" s="1167">
        <v>2.2000000000000002</v>
      </c>
      <c r="I18" s="1167">
        <v>2.6</v>
      </c>
      <c r="J18" s="1167">
        <v>2.5</v>
      </c>
    </row>
    <row r="19" spans="1:10" ht="25.5" x14ac:dyDescent="0.2">
      <c r="A19" s="153">
        <v>22</v>
      </c>
      <c r="B19" s="169" t="s">
        <v>239</v>
      </c>
      <c r="C19" s="170">
        <v>2</v>
      </c>
      <c r="D19" s="170">
        <v>1</v>
      </c>
      <c r="E19" s="156" t="s">
        <v>229</v>
      </c>
      <c r="F19" s="157">
        <v>5</v>
      </c>
      <c r="G19" s="158">
        <v>4</v>
      </c>
      <c r="H19" s="1167">
        <v>1.9</v>
      </c>
      <c r="I19" s="1167">
        <v>2.5</v>
      </c>
      <c r="J19" s="1167">
        <v>2.4</v>
      </c>
    </row>
    <row r="20" spans="1:10" ht="25.5" x14ac:dyDescent="0.2">
      <c r="A20" s="153">
        <v>24</v>
      </c>
      <c r="B20" s="169" t="s">
        <v>240</v>
      </c>
      <c r="C20" s="170">
        <v>2</v>
      </c>
      <c r="D20" s="170">
        <v>1</v>
      </c>
      <c r="E20" s="156" t="s">
        <v>229</v>
      </c>
      <c r="F20" s="157">
        <v>5</v>
      </c>
      <c r="G20" s="158">
        <v>4</v>
      </c>
      <c r="H20" s="1167">
        <v>2.2000000000000002</v>
      </c>
      <c r="I20" s="1167">
        <v>2.5</v>
      </c>
      <c r="J20" s="1167">
        <v>2.4</v>
      </c>
    </row>
    <row r="21" spans="1:10" ht="25.5" x14ac:dyDescent="0.2">
      <c r="A21" s="153">
        <v>25</v>
      </c>
      <c r="B21" s="169" t="s">
        <v>241</v>
      </c>
      <c r="C21" s="170">
        <v>2</v>
      </c>
      <c r="D21" s="170">
        <v>1</v>
      </c>
      <c r="E21" s="156" t="s">
        <v>229</v>
      </c>
      <c r="F21" s="157">
        <v>5</v>
      </c>
      <c r="G21" s="158">
        <v>3.9</v>
      </c>
      <c r="H21" s="1167">
        <v>2.1</v>
      </c>
      <c r="I21" s="1167">
        <v>2.6</v>
      </c>
      <c r="J21" s="1167">
        <v>2.2999999999999998</v>
      </c>
    </row>
    <row r="22" spans="1:10" x14ac:dyDescent="0.2">
      <c r="A22" s="153">
        <v>27</v>
      </c>
      <c r="B22" s="161" t="s">
        <v>242</v>
      </c>
      <c r="C22" s="155">
        <v>2</v>
      </c>
      <c r="D22" s="155">
        <v>2</v>
      </c>
      <c r="E22" s="156" t="s">
        <v>40</v>
      </c>
      <c r="F22" s="157">
        <v>21.1</v>
      </c>
      <c r="G22" s="158">
        <v>6.4</v>
      </c>
      <c r="H22" s="1167">
        <v>4.4000000000000004</v>
      </c>
      <c r="I22" s="1167">
        <v>5.9</v>
      </c>
      <c r="J22" s="1167">
        <v>0.6</v>
      </c>
    </row>
    <row r="23" spans="1:10" ht="14.25" x14ac:dyDescent="0.2">
      <c r="A23" s="153">
        <v>28</v>
      </c>
      <c r="B23" s="161" t="s">
        <v>243</v>
      </c>
      <c r="C23" s="155">
        <v>2</v>
      </c>
      <c r="D23" s="155">
        <v>1</v>
      </c>
      <c r="E23" s="156" t="s">
        <v>229</v>
      </c>
      <c r="F23" s="162">
        <v>1.8</v>
      </c>
      <c r="G23" s="158">
        <v>3.3</v>
      </c>
      <c r="H23" s="1167">
        <v>0</v>
      </c>
      <c r="I23" s="1167">
        <v>3.1</v>
      </c>
      <c r="J23" s="1169">
        <v>3</v>
      </c>
    </row>
    <row r="24" spans="1:10" x14ac:dyDescent="0.2">
      <c r="A24" s="171" t="s">
        <v>95</v>
      </c>
      <c r="B24" s="172"/>
      <c r="C24" s="173"/>
      <c r="D24" s="173"/>
      <c r="E24" s="166"/>
      <c r="F24" s="167"/>
      <c r="G24" s="168"/>
      <c r="H24" s="1168"/>
      <c r="I24" s="1168"/>
      <c r="J24" s="1168"/>
    </row>
    <row r="25" spans="1:10" x14ac:dyDescent="0.2">
      <c r="A25" s="153">
        <v>31</v>
      </c>
      <c r="B25" s="159" t="s">
        <v>244</v>
      </c>
      <c r="C25" s="155">
        <v>3</v>
      </c>
      <c r="D25" s="155">
        <v>2</v>
      </c>
      <c r="E25" s="156" t="s">
        <v>40</v>
      </c>
      <c r="F25" s="157">
        <v>50</v>
      </c>
      <c r="G25" s="158">
        <v>21.1</v>
      </c>
      <c r="H25" s="1167">
        <v>18.2</v>
      </c>
      <c r="I25" s="1167">
        <v>16.399999999999999</v>
      </c>
      <c r="J25" s="1167">
        <v>9.5</v>
      </c>
    </row>
    <row r="26" spans="1:10" x14ac:dyDescent="0.2">
      <c r="A26" s="153">
        <v>32</v>
      </c>
      <c r="B26" s="159" t="s">
        <v>245</v>
      </c>
      <c r="C26" s="155">
        <v>3</v>
      </c>
      <c r="D26" s="155">
        <v>2</v>
      </c>
      <c r="E26" s="156" t="s">
        <v>40</v>
      </c>
      <c r="F26" s="157">
        <v>50</v>
      </c>
      <c r="G26" s="158">
        <v>22</v>
      </c>
      <c r="H26" s="1167">
        <v>19</v>
      </c>
      <c r="I26" s="1167">
        <v>16.399999999999999</v>
      </c>
      <c r="J26" s="1167">
        <v>11</v>
      </c>
    </row>
    <row r="27" spans="1:10" x14ac:dyDescent="0.2">
      <c r="A27" s="153">
        <v>33</v>
      </c>
      <c r="B27" s="159" t="s">
        <v>246</v>
      </c>
      <c r="C27" s="155">
        <v>3</v>
      </c>
      <c r="D27" s="155">
        <v>2</v>
      </c>
      <c r="E27" s="156" t="s">
        <v>40</v>
      </c>
      <c r="F27" s="157">
        <v>50</v>
      </c>
      <c r="G27" s="158">
        <v>22.1</v>
      </c>
      <c r="H27" s="1167">
        <v>20.3</v>
      </c>
      <c r="I27" s="1167">
        <v>20.6</v>
      </c>
      <c r="J27" s="1167">
        <v>9.9</v>
      </c>
    </row>
    <row r="28" spans="1:10" x14ac:dyDescent="0.2">
      <c r="A28" s="153">
        <v>34</v>
      </c>
      <c r="B28" s="159" t="s">
        <v>247</v>
      </c>
      <c r="C28" s="170">
        <v>3</v>
      </c>
      <c r="D28" s="170">
        <v>2</v>
      </c>
      <c r="E28" s="156" t="s">
        <v>40</v>
      </c>
      <c r="F28" s="157">
        <v>60</v>
      </c>
      <c r="G28" s="158">
        <v>21.3</v>
      </c>
      <c r="H28" s="1167">
        <v>17</v>
      </c>
      <c r="I28" s="1167">
        <v>19.7</v>
      </c>
      <c r="J28" s="1167">
        <v>9.6</v>
      </c>
    </row>
    <row r="29" spans="1:10" x14ac:dyDescent="0.2">
      <c r="A29" s="153">
        <v>35</v>
      </c>
      <c r="B29" s="161" t="s">
        <v>248</v>
      </c>
      <c r="C29" s="170">
        <v>3</v>
      </c>
      <c r="D29" s="170">
        <v>2</v>
      </c>
      <c r="E29" s="156" t="s">
        <v>40</v>
      </c>
      <c r="F29" s="157">
        <v>30</v>
      </c>
      <c r="G29" s="158">
        <v>6.5</v>
      </c>
      <c r="H29" s="1167">
        <v>6</v>
      </c>
      <c r="I29" s="1167">
        <v>6.2</v>
      </c>
      <c r="J29" s="1167">
        <v>2.9</v>
      </c>
    </row>
    <row r="30" spans="1:10" x14ac:dyDescent="0.2">
      <c r="A30" s="153">
        <v>36</v>
      </c>
      <c r="B30" s="161" t="s">
        <v>249</v>
      </c>
      <c r="C30" s="170">
        <v>3</v>
      </c>
      <c r="D30" s="170">
        <v>2</v>
      </c>
      <c r="E30" s="156" t="s">
        <v>40</v>
      </c>
      <c r="F30" s="157">
        <v>30</v>
      </c>
      <c r="G30" s="158">
        <v>7.8</v>
      </c>
      <c r="H30" s="1167">
        <v>8.1</v>
      </c>
      <c r="I30" s="1167">
        <v>6.9</v>
      </c>
      <c r="J30" s="1167">
        <v>3.5</v>
      </c>
    </row>
    <row r="31" spans="1:10" x14ac:dyDescent="0.2">
      <c r="A31" s="163" t="s">
        <v>250</v>
      </c>
      <c r="B31" s="164"/>
      <c r="C31" s="165"/>
      <c r="D31" s="165"/>
      <c r="E31" s="166"/>
      <c r="F31" s="167"/>
      <c r="G31" s="168"/>
      <c r="H31" s="1168"/>
      <c r="I31" s="1168"/>
      <c r="J31" s="1168"/>
    </row>
    <row r="32" spans="1:10" x14ac:dyDescent="0.2">
      <c r="A32" s="153">
        <v>41</v>
      </c>
      <c r="B32" s="159" t="s">
        <v>251</v>
      </c>
      <c r="C32" s="155">
        <v>4</v>
      </c>
      <c r="D32" s="155">
        <v>2</v>
      </c>
      <c r="E32" s="156" t="s">
        <v>40</v>
      </c>
      <c r="F32" s="157">
        <v>30</v>
      </c>
      <c r="G32" s="158">
        <v>3.6</v>
      </c>
      <c r="H32" s="1167">
        <v>2.7</v>
      </c>
      <c r="I32" s="1167">
        <v>9.3000000000000007</v>
      </c>
      <c r="J32" s="1167">
        <v>0.4</v>
      </c>
    </row>
    <row r="33" spans="1:10" x14ac:dyDescent="0.2">
      <c r="A33" s="153">
        <v>42</v>
      </c>
      <c r="B33" s="159" t="s">
        <v>252</v>
      </c>
      <c r="C33" s="155">
        <v>4</v>
      </c>
      <c r="D33" s="155">
        <v>2</v>
      </c>
      <c r="E33" s="156" t="s">
        <v>40</v>
      </c>
      <c r="F33" s="157">
        <v>30</v>
      </c>
      <c r="G33" s="158">
        <v>5.5</v>
      </c>
      <c r="H33" s="1167">
        <v>3.1</v>
      </c>
      <c r="I33" s="1167">
        <v>11.7</v>
      </c>
      <c r="J33" s="1167">
        <v>0.6</v>
      </c>
    </row>
    <row r="34" spans="1:10" x14ac:dyDescent="0.2">
      <c r="A34" s="153">
        <v>43</v>
      </c>
      <c r="B34" s="159" t="s">
        <v>253</v>
      </c>
      <c r="C34" s="155">
        <v>4</v>
      </c>
      <c r="D34" s="155">
        <v>2</v>
      </c>
      <c r="E34" s="155" t="s">
        <v>40</v>
      </c>
      <c r="F34" s="160">
        <v>30</v>
      </c>
      <c r="G34" s="158">
        <v>7.4</v>
      </c>
      <c r="H34" s="1170">
        <v>7.2</v>
      </c>
      <c r="I34" s="1170">
        <v>12.9</v>
      </c>
      <c r="J34" s="1167">
        <v>0.7</v>
      </c>
    </row>
    <row r="35" spans="1:10" x14ac:dyDescent="0.2">
      <c r="H35" s="174"/>
    </row>
    <row r="36" spans="1:10" x14ac:dyDescent="0.2">
      <c r="H36" s="174"/>
    </row>
    <row r="37" spans="1:10" x14ac:dyDescent="0.2">
      <c r="H37" s="174"/>
    </row>
    <row r="38" spans="1:10" x14ac:dyDescent="0.2">
      <c r="B38" s="128" t="s">
        <v>1104</v>
      </c>
      <c r="H38" s="174"/>
    </row>
    <row r="39" spans="1:10" x14ac:dyDescent="0.2">
      <c r="B39" s="128" t="s">
        <v>0</v>
      </c>
      <c r="H39" s="174"/>
    </row>
    <row r="40" spans="1:10" x14ac:dyDescent="0.2">
      <c r="B40" s="128" t="s">
        <v>13</v>
      </c>
      <c r="H40" s="174"/>
    </row>
    <row r="41" spans="1:10" x14ac:dyDescent="0.2">
      <c r="H41" s="174"/>
    </row>
    <row r="42" spans="1:10" x14ac:dyDescent="0.2">
      <c r="H42" s="174"/>
    </row>
    <row r="43" spans="1:10" x14ac:dyDescent="0.2">
      <c r="H43" s="174"/>
    </row>
    <row r="44" spans="1:10" x14ac:dyDescent="0.2">
      <c r="H44" s="174"/>
    </row>
    <row r="45" spans="1:10" x14ac:dyDescent="0.2">
      <c r="H45" s="174"/>
    </row>
    <row r="46" spans="1:10" x14ac:dyDescent="0.2">
      <c r="H46" s="174"/>
    </row>
    <row r="47" spans="1:10" x14ac:dyDescent="0.2">
      <c r="H47" s="174"/>
    </row>
    <row r="48" spans="1:10" x14ac:dyDescent="0.2">
      <c r="H48" s="174"/>
    </row>
    <row r="49" spans="8:8" x14ac:dyDescent="0.2">
      <c r="H49" s="174"/>
    </row>
    <row r="50" spans="8:8" x14ac:dyDescent="0.2">
      <c r="H50" s="174"/>
    </row>
    <row r="51" spans="8:8" x14ac:dyDescent="0.2">
      <c r="H51" s="174"/>
    </row>
    <row r="52" spans="8:8" x14ac:dyDescent="0.2">
      <c r="H52" s="174"/>
    </row>
    <row r="53" spans="8:8" x14ac:dyDescent="0.2">
      <c r="H53" s="174"/>
    </row>
    <row r="54" spans="8:8" x14ac:dyDescent="0.2">
      <c r="H54" s="174"/>
    </row>
    <row r="55" spans="8:8" x14ac:dyDescent="0.2">
      <c r="H55" s="174"/>
    </row>
    <row r="56" spans="8:8" x14ac:dyDescent="0.2">
      <c r="H56" s="174"/>
    </row>
    <row r="57" spans="8:8" x14ac:dyDescent="0.2">
      <c r="H57" s="174"/>
    </row>
    <row r="58" spans="8:8" x14ac:dyDescent="0.2">
      <c r="H58" s="174"/>
    </row>
    <row r="59" spans="8:8" x14ac:dyDescent="0.2">
      <c r="H59" s="174"/>
    </row>
    <row r="60" spans="8:8" x14ac:dyDescent="0.2">
      <c r="H60" s="174"/>
    </row>
    <row r="61" spans="8:8" x14ac:dyDescent="0.2">
      <c r="H61" s="174"/>
    </row>
    <row r="62" spans="8:8" x14ac:dyDescent="0.2">
      <c r="H62" s="174"/>
    </row>
    <row r="63" spans="8:8" x14ac:dyDescent="0.2">
      <c r="H63" s="174"/>
    </row>
    <row r="64" spans="8:8" x14ac:dyDescent="0.2">
      <c r="H64" s="174"/>
    </row>
    <row r="65" spans="8:8" x14ac:dyDescent="0.2">
      <c r="H65" s="174"/>
    </row>
    <row r="66" spans="8:8" x14ac:dyDescent="0.2">
      <c r="H66" s="174"/>
    </row>
    <row r="67" spans="8:8" x14ac:dyDescent="0.2">
      <c r="H67" s="174"/>
    </row>
    <row r="68" spans="8:8" x14ac:dyDescent="0.2">
      <c r="H68" s="174"/>
    </row>
    <row r="69" spans="8:8" x14ac:dyDescent="0.2">
      <c r="H69" s="174"/>
    </row>
    <row r="70" spans="8:8" x14ac:dyDescent="0.2">
      <c r="H70" s="174"/>
    </row>
    <row r="71" spans="8:8" x14ac:dyDescent="0.2">
      <c r="H71" s="126"/>
    </row>
    <row r="72" spans="8:8" x14ac:dyDescent="0.2">
      <c r="H72" s="174"/>
    </row>
    <row r="73" spans="8:8" x14ac:dyDescent="0.2">
      <c r="H73" s="174"/>
    </row>
    <row r="74" spans="8:8" x14ac:dyDescent="0.2">
      <c r="H74" s="174"/>
    </row>
    <row r="75" spans="8:8" x14ac:dyDescent="0.2">
      <c r="H75" s="174"/>
    </row>
    <row r="76" spans="8:8" x14ac:dyDescent="0.2">
      <c r="H76" s="174"/>
    </row>
    <row r="77" spans="8:8" x14ac:dyDescent="0.2">
      <c r="H77" s="174"/>
    </row>
    <row r="78" spans="8:8" x14ac:dyDescent="0.2">
      <c r="H78" s="174"/>
    </row>
    <row r="79" spans="8:8" x14ac:dyDescent="0.2">
      <c r="H79" s="174"/>
    </row>
    <row r="80" spans="8:8" x14ac:dyDescent="0.2">
      <c r="H80" s="174"/>
    </row>
    <row r="81" spans="8:8" x14ac:dyDescent="0.2">
      <c r="H81" s="126"/>
    </row>
    <row r="82" spans="8:8" x14ac:dyDescent="0.2">
      <c r="H82" s="174"/>
    </row>
    <row r="83" spans="8:8" x14ac:dyDescent="0.2">
      <c r="H83" s="174"/>
    </row>
    <row r="84" spans="8:8" x14ac:dyDescent="0.2">
      <c r="H84" s="174"/>
    </row>
    <row r="85" spans="8:8" x14ac:dyDescent="0.2">
      <c r="H85" s="174"/>
    </row>
    <row r="86" spans="8:8" x14ac:dyDescent="0.2">
      <c r="H86" s="174"/>
    </row>
    <row r="87" spans="8:8" x14ac:dyDescent="0.2">
      <c r="H87" s="174"/>
    </row>
    <row r="88" spans="8:8" x14ac:dyDescent="0.2">
      <c r="H88" s="174"/>
    </row>
    <row r="89" spans="8:8" x14ac:dyDescent="0.2">
      <c r="H89" s="174"/>
    </row>
    <row r="90" spans="8:8" x14ac:dyDescent="0.2">
      <c r="H90" s="174"/>
    </row>
    <row r="91" spans="8:8" x14ac:dyDescent="0.2">
      <c r="H91" s="174"/>
    </row>
    <row r="92" spans="8:8" x14ac:dyDescent="0.2">
      <c r="H92" s="174"/>
    </row>
    <row r="93" spans="8:8" x14ac:dyDescent="0.2">
      <c r="H93" s="174"/>
    </row>
    <row r="94" spans="8:8" x14ac:dyDescent="0.2">
      <c r="H94" s="174"/>
    </row>
    <row r="95" spans="8:8" x14ac:dyDescent="0.2">
      <c r="H95" s="174"/>
    </row>
    <row r="96" spans="8:8" x14ac:dyDescent="0.2">
      <c r="H96" s="174"/>
    </row>
    <row r="97" spans="8:8" x14ac:dyDescent="0.2">
      <c r="H97" s="174"/>
    </row>
    <row r="98" spans="8:8" x14ac:dyDescent="0.2">
      <c r="H98" s="174"/>
    </row>
    <row r="99" spans="8:8" x14ac:dyDescent="0.2">
      <c r="H99" s="174"/>
    </row>
    <row r="100" spans="8:8" x14ac:dyDescent="0.2">
      <c r="H100" s="174"/>
    </row>
    <row r="101" spans="8:8" x14ac:dyDescent="0.2">
      <c r="H101" s="174"/>
    </row>
    <row r="102" spans="8:8" x14ac:dyDescent="0.2">
      <c r="H102" s="174"/>
    </row>
    <row r="103" spans="8:8" x14ac:dyDescent="0.2">
      <c r="H103" s="174"/>
    </row>
    <row r="104" spans="8:8" x14ac:dyDescent="0.2">
      <c r="H104" s="174"/>
    </row>
    <row r="105" spans="8:8" x14ac:dyDescent="0.2">
      <c r="H105" s="174"/>
    </row>
    <row r="106" spans="8:8" x14ac:dyDescent="0.2">
      <c r="H106" s="174"/>
    </row>
    <row r="107" spans="8:8" x14ac:dyDescent="0.2">
      <c r="H107" s="174"/>
    </row>
    <row r="108" spans="8:8" x14ac:dyDescent="0.2">
      <c r="H108" s="174"/>
    </row>
    <row r="109" spans="8:8" x14ac:dyDescent="0.2">
      <c r="H109" s="174"/>
    </row>
    <row r="110" spans="8:8" x14ac:dyDescent="0.2">
      <c r="H110" s="174"/>
    </row>
    <row r="111" spans="8:8" x14ac:dyDescent="0.2">
      <c r="H111" s="174"/>
    </row>
  </sheetData>
  <customSheetViews>
    <customSheetView guid="{DDA6E6AA-9473-49A0-A3A2-76E4959B79AF}" state="hidden">
      <selection activeCell="P14" sqref="P14"/>
      <pageMargins left="0.7" right="0.7" top="0.78740157499999996" bottom="0.78740157499999996" header="0.3" footer="0.3"/>
    </customSheetView>
  </customSheetViews>
  <mergeCells count="1">
    <mergeCell ref="A6:B6"/>
  </mergeCells>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B10"/>
  <sheetViews>
    <sheetView workbookViewId="0">
      <selection activeCell="AM60" sqref="AM60"/>
    </sheetView>
  </sheetViews>
  <sheetFormatPr baseColWidth="10" defaultRowHeight="12.75" x14ac:dyDescent="0.2"/>
  <sheetData>
    <row r="2" spans="1:2" x14ac:dyDescent="0.2">
      <c r="A2">
        <v>1</v>
      </c>
      <c r="B2" s="34" t="s">
        <v>37</v>
      </c>
    </row>
    <row r="3" spans="1:2" x14ac:dyDescent="0.2">
      <c r="A3">
        <v>2</v>
      </c>
      <c r="B3" s="34" t="s">
        <v>38</v>
      </c>
    </row>
    <row r="4" spans="1:2" x14ac:dyDescent="0.2">
      <c r="A4">
        <v>3</v>
      </c>
      <c r="B4" s="34" t="s">
        <v>39</v>
      </c>
    </row>
    <row r="6" spans="1:2" x14ac:dyDescent="0.2">
      <c r="A6">
        <v>1</v>
      </c>
      <c r="B6" s="34" t="s">
        <v>377</v>
      </c>
    </row>
    <row r="7" spans="1:2" x14ac:dyDescent="0.2">
      <c r="A7">
        <v>2</v>
      </c>
      <c r="B7" s="34" t="s">
        <v>378</v>
      </c>
    </row>
    <row r="9" spans="1:2" x14ac:dyDescent="0.2">
      <c r="A9">
        <v>1</v>
      </c>
      <c r="B9" s="34" t="s">
        <v>903</v>
      </c>
    </row>
    <row r="10" spans="1:2" x14ac:dyDescent="0.2">
      <c r="A10">
        <v>2</v>
      </c>
      <c r="B10" s="34" t="s">
        <v>914</v>
      </c>
    </row>
  </sheetData>
  <customSheetViews>
    <customSheetView guid="{DDA6E6AA-9473-49A0-A3A2-76E4959B79AF}" state="hidden">
      <selection activeCell="I36" sqref="I36"/>
      <pageMargins left="0.7" right="0.7" top="0.78740157499999996" bottom="0.78740157499999996" header="0.3" footer="0.3"/>
    </customSheetView>
  </customSheetView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F78"/>
  <sheetViews>
    <sheetView zoomScale="110" zoomScaleNormal="110" zoomScaleSheetLayoutView="80" workbookViewId="0">
      <selection activeCell="AM60" sqref="AM60"/>
    </sheetView>
  </sheetViews>
  <sheetFormatPr baseColWidth="10" defaultRowHeight="12.75" x14ac:dyDescent="0.2"/>
  <cols>
    <col min="1" max="1" width="4.28515625" style="39" customWidth="1"/>
    <col min="2" max="2" width="41.5703125" style="39" customWidth="1"/>
    <col min="3" max="3" width="2.28515625" style="39" customWidth="1"/>
    <col min="4" max="4" width="6.85546875" style="39" customWidth="1"/>
    <col min="5" max="5" width="44.85546875" style="39" customWidth="1"/>
    <col min="6" max="16384" width="11.42578125" style="39"/>
  </cols>
  <sheetData>
    <row r="1" spans="1:6" ht="15.95" customHeight="1" x14ac:dyDescent="0.3">
      <c r="A1" s="67" t="s">
        <v>97</v>
      </c>
      <c r="B1" s="68"/>
      <c r="C1" s="68"/>
      <c r="D1" s="69"/>
      <c r="E1" s="68"/>
      <c r="F1" s="68"/>
    </row>
    <row r="2" spans="1:6" ht="6" customHeight="1" x14ac:dyDescent="0.25">
      <c r="A2" s="70"/>
      <c r="B2" s="71"/>
      <c r="C2" s="71"/>
      <c r="D2" s="70"/>
      <c r="E2" s="71"/>
      <c r="F2" s="71"/>
    </row>
    <row r="3" spans="1:6" ht="15.95" customHeight="1" x14ac:dyDescent="0.25">
      <c r="A3" s="2382" t="s">
        <v>98</v>
      </c>
      <c r="B3" s="2383"/>
      <c r="C3" s="72"/>
      <c r="D3" s="73"/>
      <c r="E3" s="74" t="s">
        <v>99</v>
      </c>
      <c r="F3" s="75"/>
    </row>
    <row r="4" spans="1:6" ht="14.1" customHeight="1" x14ac:dyDescent="0.2">
      <c r="A4" s="76" t="s">
        <v>100</v>
      </c>
      <c r="B4" s="77" t="s">
        <v>101</v>
      </c>
      <c r="C4" s="78"/>
      <c r="D4" s="79"/>
      <c r="E4" s="80" t="s">
        <v>102</v>
      </c>
      <c r="F4" s="81"/>
    </row>
    <row r="5" spans="1:6" ht="5.0999999999999996" customHeight="1" x14ac:dyDescent="0.2">
      <c r="A5" s="78"/>
      <c r="B5" s="81"/>
      <c r="C5" s="81"/>
      <c r="D5" s="82"/>
      <c r="E5" s="83"/>
      <c r="F5" s="81"/>
    </row>
    <row r="6" spans="1:6" ht="12.95" customHeight="1" x14ac:dyDescent="0.2">
      <c r="A6" s="84" t="s">
        <v>103</v>
      </c>
      <c r="B6" s="85" t="s">
        <v>104</v>
      </c>
      <c r="C6" s="86"/>
      <c r="D6" s="87"/>
      <c r="E6" s="88" t="s">
        <v>105</v>
      </c>
      <c r="F6" s="81"/>
    </row>
    <row r="7" spans="1:6" ht="5.0999999999999996" customHeight="1" x14ac:dyDescent="0.2">
      <c r="A7" s="89"/>
      <c r="B7" s="90"/>
      <c r="C7" s="86"/>
      <c r="D7" s="87"/>
      <c r="E7" s="91"/>
      <c r="F7" s="81"/>
    </row>
    <row r="8" spans="1:6" ht="12.95" customHeight="1" x14ac:dyDescent="0.2">
      <c r="A8" s="92" t="s">
        <v>106</v>
      </c>
      <c r="B8" s="93" t="s">
        <v>107</v>
      </c>
      <c r="C8" s="81"/>
      <c r="D8" s="87"/>
      <c r="E8" s="94" t="s">
        <v>107</v>
      </c>
      <c r="F8" s="81"/>
    </row>
    <row r="9" spans="1:6" ht="12.95" customHeight="1" x14ac:dyDescent="0.2">
      <c r="A9" s="95" t="s">
        <v>108</v>
      </c>
      <c r="B9" s="96" t="s">
        <v>109</v>
      </c>
      <c r="C9" s="81"/>
      <c r="D9" s="87"/>
      <c r="E9" s="97" t="s">
        <v>110</v>
      </c>
      <c r="F9" s="81"/>
    </row>
    <row r="10" spans="1:6" ht="12.95" customHeight="1" x14ac:dyDescent="0.2">
      <c r="A10" s="98" t="s">
        <v>111</v>
      </c>
      <c r="B10" s="99" t="s">
        <v>112</v>
      </c>
      <c r="C10" s="81"/>
      <c r="D10" s="87"/>
      <c r="E10" s="100" t="s">
        <v>113</v>
      </c>
      <c r="F10" s="81"/>
    </row>
    <row r="11" spans="1:6" ht="5.0999999999999996" customHeight="1" x14ac:dyDescent="0.2">
      <c r="A11" s="89"/>
      <c r="B11" s="83"/>
      <c r="C11" s="81"/>
      <c r="D11" s="87"/>
      <c r="E11" s="91"/>
      <c r="F11" s="81"/>
    </row>
    <row r="12" spans="1:6" ht="12.95" customHeight="1" x14ac:dyDescent="0.2">
      <c r="A12" s="92" t="s">
        <v>114</v>
      </c>
      <c r="B12" s="93" t="s">
        <v>115</v>
      </c>
      <c r="C12" s="81"/>
      <c r="D12" s="87"/>
      <c r="E12" s="94" t="s">
        <v>116</v>
      </c>
      <c r="F12" s="81"/>
    </row>
    <row r="13" spans="1:6" ht="12.95" customHeight="1" x14ac:dyDescent="0.2">
      <c r="A13" s="95" t="s">
        <v>117</v>
      </c>
      <c r="B13" s="96" t="s">
        <v>118</v>
      </c>
      <c r="C13" s="81"/>
      <c r="D13" s="87"/>
      <c r="E13" s="97" t="s">
        <v>118</v>
      </c>
      <c r="F13" s="81"/>
    </row>
    <row r="14" spans="1:6" ht="12.95" customHeight="1" x14ac:dyDescent="0.2">
      <c r="A14" s="98" t="s">
        <v>119</v>
      </c>
      <c r="B14" s="99" t="s">
        <v>120</v>
      </c>
      <c r="C14" s="81"/>
      <c r="D14" s="87"/>
      <c r="E14" s="100" t="s">
        <v>120</v>
      </c>
      <c r="F14" s="81"/>
    </row>
    <row r="15" spans="1:6" ht="5.0999999999999996" customHeight="1" x14ac:dyDescent="0.2">
      <c r="A15" s="89"/>
      <c r="B15" s="83"/>
      <c r="C15" s="81"/>
      <c r="D15" s="87"/>
      <c r="E15" s="91"/>
      <c r="F15" s="81"/>
    </row>
    <row r="16" spans="1:6" ht="12.95" customHeight="1" x14ac:dyDescent="0.2">
      <c r="A16" s="2372">
        <v>18</v>
      </c>
      <c r="B16" s="2379" t="s">
        <v>121</v>
      </c>
      <c r="C16" s="81"/>
      <c r="D16" s="87"/>
      <c r="E16" s="94" t="s">
        <v>122</v>
      </c>
      <c r="F16" s="81"/>
    </row>
    <row r="17" spans="1:6" ht="12.95" customHeight="1" x14ac:dyDescent="0.2">
      <c r="A17" s="2376"/>
      <c r="B17" s="2381"/>
      <c r="C17" s="81"/>
      <c r="D17" s="87"/>
      <c r="E17" s="100" t="s">
        <v>123</v>
      </c>
      <c r="F17" s="81"/>
    </row>
    <row r="18" spans="1:6" ht="5.0999999999999996" customHeight="1" x14ac:dyDescent="0.2">
      <c r="A18" s="89"/>
      <c r="B18" s="83"/>
      <c r="C18" s="81"/>
      <c r="D18" s="87"/>
      <c r="E18" s="91"/>
      <c r="F18" s="81"/>
    </row>
    <row r="19" spans="1:6" ht="12.95" customHeight="1" x14ac:dyDescent="0.2">
      <c r="A19" s="101" t="s">
        <v>124</v>
      </c>
      <c r="B19" s="102" t="s">
        <v>125</v>
      </c>
      <c r="C19" s="81"/>
      <c r="D19" s="87"/>
      <c r="E19" s="2384" t="s">
        <v>126</v>
      </c>
      <c r="F19" s="81"/>
    </row>
    <row r="20" spans="1:6" ht="12.95" customHeight="1" x14ac:dyDescent="0.2">
      <c r="A20" s="95" t="s">
        <v>127</v>
      </c>
      <c r="B20" s="96" t="s">
        <v>128</v>
      </c>
      <c r="C20" s="81"/>
      <c r="D20" s="87"/>
      <c r="E20" s="2385"/>
      <c r="F20" s="81"/>
    </row>
    <row r="21" spans="1:6" ht="12.95" customHeight="1" x14ac:dyDescent="0.2">
      <c r="A21" s="95" t="s">
        <v>129</v>
      </c>
      <c r="B21" s="96" t="s">
        <v>130</v>
      </c>
      <c r="C21" s="81"/>
      <c r="D21" s="87"/>
      <c r="E21" s="103" t="s">
        <v>131</v>
      </c>
      <c r="F21" s="81"/>
    </row>
    <row r="22" spans="1:6" ht="12" customHeight="1" x14ac:dyDescent="0.2">
      <c r="A22" s="98" t="s">
        <v>132</v>
      </c>
      <c r="B22" s="99" t="s">
        <v>133</v>
      </c>
      <c r="C22" s="81"/>
      <c r="D22" s="87"/>
      <c r="E22" s="104"/>
      <c r="F22" s="81"/>
    </row>
    <row r="23" spans="1:6" ht="5.0999999999999996" customHeight="1" x14ac:dyDescent="0.2">
      <c r="A23" s="89"/>
      <c r="B23" s="83"/>
      <c r="C23" s="81"/>
      <c r="D23" s="87"/>
      <c r="E23" s="83"/>
      <c r="F23" s="81"/>
    </row>
    <row r="24" spans="1:6" ht="12.95" customHeight="1" x14ac:dyDescent="0.2">
      <c r="A24" s="92" t="s">
        <v>134</v>
      </c>
      <c r="B24" s="93" t="s">
        <v>135</v>
      </c>
      <c r="C24" s="81"/>
      <c r="D24" s="87"/>
      <c r="E24" s="2386" t="s">
        <v>136</v>
      </c>
      <c r="F24" s="81"/>
    </row>
    <row r="25" spans="1:6" ht="12.95" customHeight="1" x14ac:dyDescent="0.2">
      <c r="A25" s="98" t="s">
        <v>137</v>
      </c>
      <c r="B25" s="99" t="s">
        <v>138</v>
      </c>
      <c r="C25" s="81"/>
      <c r="D25" s="87"/>
      <c r="E25" s="2387"/>
      <c r="F25" s="81"/>
    </row>
    <row r="26" spans="1:6" ht="5.0999999999999996" customHeight="1" x14ac:dyDescent="0.2">
      <c r="A26" s="89"/>
      <c r="B26" s="83"/>
      <c r="C26" s="81"/>
      <c r="D26" s="87"/>
      <c r="E26" s="83"/>
      <c r="F26" s="81"/>
    </row>
    <row r="27" spans="1:6" ht="12.95" customHeight="1" x14ac:dyDescent="0.2">
      <c r="A27" s="92" t="s">
        <v>139</v>
      </c>
      <c r="B27" s="93" t="s">
        <v>140</v>
      </c>
      <c r="C27" s="81"/>
      <c r="D27" s="87"/>
      <c r="E27" s="105" t="s">
        <v>141</v>
      </c>
      <c r="F27" s="81"/>
    </row>
    <row r="28" spans="1:6" ht="12.95" customHeight="1" x14ac:dyDescent="0.2">
      <c r="A28" s="98" t="s">
        <v>142</v>
      </c>
      <c r="B28" s="99" t="s">
        <v>143</v>
      </c>
      <c r="C28" s="81"/>
      <c r="D28" s="87"/>
      <c r="E28" s="104" t="s">
        <v>144</v>
      </c>
      <c r="F28" s="81"/>
    </row>
    <row r="29" spans="1:6" ht="8.1" customHeight="1" x14ac:dyDescent="0.2">
      <c r="A29" s="89"/>
      <c r="B29" s="83"/>
      <c r="C29" s="81"/>
      <c r="D29" s="87"/>
      <c r="E29" s="83"/>
      <c r="F29" s="81"/>
    </row>
    <row r="30" spans="1:6" ht="12.95" customHeight="1" x14ac:dyDescent="0.2">
      <c r="A30" s="2372" t="s">
        <v>145</v>
      </c>
      <c r="B30" s="2377" t="s">
        <v>146</v>
      </c>
      <c r="C30" s="81"/>
      <c r="D30" s="87"/>
      <c r="E30" s="106" t="s">
        <v>147</v>
      </c>
      <c r="F30" s="81"/>
    </row>
    <row r="31" spans="1:6" ht="12.95" customHeight="1" x14ac:dyDescent="0.2">
      <c r="A31" s="2376"/>
      <c r="B31" s="2378"/>
      <c r="C31" s="81"/>
      <c r="D31" s="82"/>
      <c r="E31" s="107" t="s">
        <v>148</v>
      </c>
      <c r="F31" s="81"/>
    </row>
    <row r="32" spans="1:6" ht="9.9499999999999993" customHeight="1" x14ac:dyDescent="0.2">
      <c r="A32" s="89"/>
      <c r="B32" s="83"/>
      <c r="C32" s="81"/>
      <c r="D32" s="82"/>
      <c r="E32" s="83"/>
      <c r="F32" s="81"/>
    </row>
    <row r="33" spans="1:6" ht="12.95" customHeight="1" x14ac:dyDescent="0.2">
      <c r="A33" s="89"/>
      <c r="B33" s="83"/>
      <c r="C33" s="81"/>
      <c r="D33" s="87"/>
      <c r="E33" s="94" t="s">
        <v>149</v>
      </c>
      <c r="F33" s="81"/>
    </row>
    <row r="34" spans="1:6" ht="12.95" customHeight="1" x14ac:dyDescent="0.2">
      <c r="A34" s="89"/>
      <c r="B34" s="83"/>
      <c r="C34" s="81"/>
      <c r="D34" s="82"/>
      <c r="E34" s="97" t="s">
        <v>150</v>
      </c>
      <c r="F34" s="81"/>
    </row>
    <row r="35" spans="1:6" ht="12.95" customHeight="1" x14ac:dyDescent="0.2">
      <c r="A35" s="89"/>
      <c r="B35" s="83"/>
      <c r="C35" s="81"/>
      <c r="D35" s="82"/>
      <c r="E35" s="108" t="s">
        <v>151</v>
      </c>
      <c r="F35" s="81"/>
    </row>
    <row r="36" spans="1:6" ht="12.95" customHeight="1" x14ac:dyDescent="0.2">
      <c r="A36" s="2372" t="s">
        <v>152</v>
      </c>
      <c r="B36" s="2379" t="s">
        <v>153</v>
      </c>
      <c r="C36" s="81"/>
      <c r="D36" s="82"/>
      <c r="E36" s="109" t="s">
        <v>154</v>
      </c>
      <c r="F36" s="81"/>
    </row>
    <row r="37" spans="1:6" ht="12.95" customHeight="1" x14ac:dyDescent="0.2">
      <c r="A37" s="2373"/>
      <c r="B37" s="2380"/>
      <c r="C37" s="81"/>
      <c r="D37" s="87"/>
      <c r="E37" s="110" t="s">
        <v>155</v>
      </c>
      <c r="F37" s="81"/>
    </row>
    <row r="38" spans="1:6" ht="12.95" customHeight="1" x14ac:dyDescent="0.2">
      <c r="A38" s="89"/>
      <c r="B38" s="83"/>
      <c r="C38" s="81"/>
      <c r="D38" s="82"/>
      <c r="E38" s="110" t="s">
        <v>156</v>
      </c>
      <c r="F38" s="81"/>
    </row>
    <row r="39" spans="1:6" ht="12.95" customHeight="1" x14ac:dyDescent="0.2">
      <c r="A39" s="89"/>
      <c r="B39" s="83"/>
      <c r="C39" s="81"/>
      <c r="D39" s="82"/>
      <c r="E39" s="111" t="s">
        <v>157</v>
      </c>
      <c r="F39" s="81"/>
    </row>
    <row r="40" spans="1:6" ht="12.95" customHeight="1" x14ac:dyDescent="0.2">
      <c r="A40" s="89"/>
      <c r="B40" s="83"/>
      <c r="C40" s="81"/>
      <c r="D40" s="82"/>
      <c r="E40" s="112" t="s">
        <v>158</v>
      </c>
      <c r="F40" s="81"/>
    </row>
    <row r="41" spans="1:6" ht="5.0999999999999996" customHeight="1" x14ac:dyDescent="0.2">
      <c r="A41" s="89"/>
      <c r="B41" s="83"/>
      <c r="C41" s="81"/>
      <c r="D41" s="82"/>
      <c r="E41" s="83"/>
      <c r="F41" s="81"/>
    </row>
    <row r="42" spans="1:6" ht="12.95" customHeight="1" x14ac:dyDescent="0.2">
      <c r="A42" s="89"/>
      <c r="B42" s="83"/>
      <c r="C42" s="81"/>
      <c r="D42" s="87"/>
      <c r="E42" s="105" t="s">
        <v>159</v>
      </c>
      <c r="F42" s="81"/>
    </row>
    <row r="43" spans="1:6" ht="12.95" customHeight="1" x14ac:dyDescent="0.2">
      <c r="A43" s="92" t="s">
        <v>160</v>
      </c>
      <c r="B43" s="93" t="s">
        <v>161</v>
      </c>
      <c r="C43" s="81"/>
      <c r="D43" s="82"/>
      <c r="E43" s="103" t="s">
        <v>162</v>
      </c>
      <c r="F43" s="81"/>
    </row>
    <row r="44" spans="1:6" ht="12.95" customHeight="1" x14ac:dyDescent="0.2">
      <c r="A44" s="95" t="s">
        <v>163</v>
      </c>
      <c r="B44" s="96" t="s">
        <v>164</v>
      </c>
      <c r="C44" s="81"/>
      <c r="D44" s="82"/>
      <c r="E44" s="103" t="s">
        <v>165</v>
      </c>
      <c r="F44" s="81"/>
    </row>
    <row r="45" spans="1:6" ht="12.95" customHeight="1" x14ac:dyDescent="0.2">
      <c r="A45" s="98" t="s">
        <v>166</v>
      </c>
      <c r="B45" s="99" t="s">
        <v>167</v>
      </c>
      <c r="C45" s="81"/>
      <c r="D45" s="82"/>
      <c r="E45" s="103" t="s">
        <v>168</v>
      </c>
      <c r="F45" s="81"/>
    </row>
    <row r="46" spans="1:6" ht="12.95" customHeight="1" x14ac:dyDescent="0.2">
      <c r="A46" s="89"/>
      <c r="B46" s="83"/>
      <c r="C46" s="81"/>
      <c r="D46" s="82"/>
      <c r="E46" s="104" t="s">
        <v>169</v>
      </c>
      <c r="F46" s="81"/>
    </row>
    <row r="47" spans="1:6" ht="8.1" customHeight="1" x14ac:dyDescent="0.2">
      <c r="A47" s="89"/>
      <c r="B47" s="83"/>
      <c r="C47" s="81"/>
      <c r="D47" s="82"/>
      <c r="E47" s="83"/>
      <c r="F47" s="81"/>
    </row>
    <row r="48" spans="1:6" ht="12.95" customHeight="1" x14ac:dyDescent="0.2">
      <c r="A48" s="2372" t="s">
        <v>170</v>
      </c>
      <c r="B48" s="2379" t="s">
        <v>171</v>
      </c>
      <c r="C48" s="81"/>
      <c r="D48" s="87"/>
      <c r="E48" s="105" t="s">
        <v>172</v>
      </c>
      <c r="F48" s="81"/>
    </row>
    <row r="49" spans="1:6" ht="12.95" customHeight="1" x14ac:dyDescent="0.2">
      <c r="A49" s="2376"/>
      <c r="B49" s="2381"/>
      <c r="C49" s="81"/>
      <c r="D49" s="82"/>
      <c r="E49" s="104" t="s">
        <v>173</v>
      </c>
      <c r="F49" s="81"/>
    </row>
    <row r="50" spans="1:6" ht="5.0999999999999996" customHeight="1" x14ac:dyDescent="0.2">
      <c r="A50" s="89"/>
      <c r="B50" s="83"/>
      <c r="C50" s="81"/>
      <c r="D50" s="82"/>
      <c r="E50" s="113"/>
      <c r="F50" s="81"/>
    </row>
    <row r="51" spans="1:6" ht="12.95" customHeight="1" x14ac:dyDescent="0.2">
      <c r="A51" s="2372" t="s">
        <v>174</v>
      </c>
      <c r="B51" s="2377" t="s">
        <v>175</v>
      </c>
      <c r="C51" s="81"/>
      <c r="D51" s="87"/>
      <c r="E51" s="105" t="s">
        <v>176</v>
      </c>
      <c r="F51" s="81"/>
    </row>
    <row r="52" spans="1:6" ht="12.95" customHeight="1" x14ac:dyDescent="0.2">
      <c r="A52" s="2376"/>
      <c r="B52" s="2378"/>
      <c r="C52" s="81"/>
      <c r="D52" s="82"/>
      <c r="E52" s="104" t="s">
        <v>177</v>
      </c>
      <c r="F52" s="81"/>
    </row>
    <row r="53" spans="1:6" ht="5.0999999999999996" customHeight="1" x14ac:dyDescent="0.2">
      <c r="A53" s="89"/>
      <c r="B53" s="83"/>
      <c r="C53" s="81"/>
      <c r="D53" s="82"/>
      <c r="E53" s="113"/>
      <c r="F53" s="81"/>
    </row>
    <row r="54" spans="1:6" ht="12.95" customHeight="1" x14ac:dyDescent="0.2">
      <c r="A54" s="2372" t="s">
        <v>178</v>
      </c>
      <c r="B54" s="2377" t="s">
        <v>179</v>
      </c>
      <c r="C54" s="81"/>
      <c r="D54" s="87"/>
      <c r="E54" s="105" t="s">
        <v>180</v>
      </c>
      <c r="F54" s="81"/>
    </row>
    <row r="55" spans="1:6" ht="12.95" customHeight="1" x14ac:dyDescent="0.2">
      <c r="A55" s="2376"/>
      <c r="B55" s="2378"/>
      <c r="C55" s="81"/>
      <c r="D55" s="82"/>
      <c r="E55" s="104" t="s">
        <v>181</v>
      </c>
      <c r="F55" s="81"/>
    </row>
    <row r="56" spans="1:6" ht="5.0999999999999996" customHeight="1" x14ac:dyDescent="0.2">
      <c r="A56" s="89"/>
      <c r="B56" s="83"/>
      <c r="C56" s="81"/>
      <c r="D56" s="82"/>
      <c r="E56" s="113"/>
      <c r="F56" s="81"/>
    </row>
    <row r="57" spans="1:6" ht="12.95" customHeight="1" x14ac:dyDescent="0.2">
      <c r="A57" s="2372" t="s">
        <v>182</v>
      </c>
      <c r="B57" s="2379" t="s">
        <v>183</v>
      </c>
      <c r="C57" s="81"/>
      <c r="D57" s="87"/>
      <c r="E57" s="105" t="s">
        <v>184</v>
      </c>
      <c r="F57" s="81"/>
    </row>
    <row r="58" spans="1:6" ht="12.95" customHeight="1" x14ac:dyDescent="0.2">
      <c r="A58" s="2373"/>
      <c r="B58" s="2380"/>
      <c r="C58" s="81"/>
      <c r="D58" s="82"/>
      <c r="E58" s="104" t="s">
        <v>185</v>
      </c>
      <c r="F58" s="81"/>
    </row>
    <row r="59" spans="1:6" ht="5.0999999999999996" customHeight="1" x14ac:dyDescent="0.2">
      <c r="A59" s="89"/>
      <c r="B59" s="83"/>
      <c r="C59" s="81"/>
      <c r="D59" s="82"/>
      <c r="E59" s="113"/>
      <c r="F59" s="81"/>
    </row>
    <row r="60" spans="1:6" ht="12.95" customHeight="1" x14ac:dyDescent="0.2">
      <c r="A60" s="84" t="s">
        <v>186</v>
      </c>
      <c r="B60" s="114" t="s">
        <v>187</v>
      </c>
      <c r="C60" s="81"/>
      <c r="D60" s="82"/>
      <c r="E60" s="115" t="s">
        <v>188</v>
      </c>
      <c r="F60" s="81"/>
    </row>
    <row r="61" spans="1:6" ht="5.0999999999999996" customHeight="1" x14ac:dyDescent="0.2">
      <c r="A61" s="89"/>
      <c r="B61" s="83"/>
      <c r="C61" s="81"/>
      <c r="D61" s="82"/>
      <c r="E61" s="113"/>
      <c r="F61" s="81"/>
    </row>
    <row r="62" spans="1:6" ht="12.95" customHeight="1" x14ac:dyDescent="0.2">
      <c r="A62" s="89"/>
      <c r="B62" s="83"/>
      <c r="C62" s="81"/>
      <c r="D62" s="82"/>
      <c r="E62" s="105" t="s">
        <v>189</v>
      </c>
      <c r="F62" s="81"/>
    </row>
    <row r="63" spans="1:6" ht="12.95" customHeight="1" x14ac:dyDescent="0.2">
      <c r="A63" s="2372" t="s">
        <v>190</v>
      </c>
      <c r="B63" s="2377" t="s">
        <v>191</v>
      </c>
      <c r="C63" s="81"/>
      <c r="D63" s="82"/>
      <c r="E63" s="103" t="s">
        <v>192</v>
      </c>
      <c r="F63" s="81"/>
    </row>
    <row r="64" spans="1:6" ht="12.95" customHeight="1" x14ac:dyDescent="0.2">
      <c r="A64" s="2376"/>
      <c r="B64" s="2378"/>
      <c r="C64" s="81"/>
      <c r="D64" s="82"/>
      <c r="E64" s="103" t="s">
        <v>193</v>
      </c>
      <c r="F64" s="81"/>
    </row>
    <row r="65" spans="1:6" ht="12.95" customHeight="1" x14ac:dyDescent="0.2">
      <c r="A65" s="89"/>
      <c r="B65" s="83"/>
      <c r="C65" s="81"/>
      <c r="D65" s="82"/>
      <c r="E65" s="104" t="s">
        <v>194</v>
      </c>
      <c r="F65" s="81"/>
    </row>
    <row r="66" spans="1:6" ht="5.0999999999999996" customHeight="1" x14ac:dyDescent="0.2">
      <c r="A66" s="89"/>
      <c r="B66" s="83"/>
      <c r="C66" s="81"/>
      <c r="D66" s="82"/>
      <c r="E66" s="113"/>
      <c r="F66" s="81"/>
    </row>
    <row r="67" spans="1:6" ht="12.95" customHeight="1" x14ac:dyDescent="0.2">
      <c r="A67" s="84" t="s">
        <v>195</v>
      </c>
      <c r="B67" s="116" t="s">
        <v>196</v>
      </c>
      <c r="C67" s="117"/>
      <c r="D67" s="82"/>
      <c r="E67" s="115" t="s">
        <v>197</v>
      </c>
      <c r="F67" s="81"/>
    </row>
    <row r="68" spans="1:6" ht="5.0999999999999996" customHeight="1" x14ac:dyDescent="0.2">
      <c r="A68" s="89"/>
      <c r="B68" s="83"/>
      <c r="C68" s="81"/>
      <c r="D68" s="82"/>
      <c r="E68" s="113"/>
      <c r="F68" s="81"/>
    </row>
    <row r="69" spans="1:6" ht="12.95" customHeight="1" x14ac:dyDescent="0.2">
      <c r="A69" s="2372" t="s">
        <v>198</v>
      </c>
      <c r="B69" s="2374" t="s">
        <v>199</v>
      </c>
      <c r="C69" s="117"/>
      <c r="D69" s="82"/>
      <c r="E69" s="105" t="s">
        <v>200</v>
      </c>
      <c r="F69" s="81"/>
    </row>
    <row r="70" spans="1:6" ht="12.95" customHeight="1" x14ac:dyDescent="0.2">
      <c r="A70" s="2373"/>
      <c r="B70" s="2375"/>
      <c r="C70" s="117"/>
      <c r="D70" s="82"/>
      <c r="E70" s="104" t="s">
        <v>201</v>
      </c>
      <c r="F70" s="81"/>
    </row>
    <row r="71" spans="1:6" ht="5.0999999999999996" customHeight="1" x14ac:dyDescent="0.2">
      <c r="A71" s="89"/>
      <c r="B71" s="83"/>
      <c r="C71" s="81"/>
      <c r="D71" s="82"/>
      <c r="E71" s="113"/>
      <c r="F71" s="81"/>
    </row>
    <row r="72" spans="1:6" ht="12.95" customHeight="1" x14ac:dyDescent="0.2">
      <c r="A72" s="2372" t="s">
        <v>202</v>
      </c>
      <c r="B72" s="2374" t="s">
        <v>203</v>
      </c>
      <c r="C72" s="117"/>
      <c r="D72" s="82"/>
      <c r="E72" s="105" t="s">
        <v>204</v>
      </c>
      <c r="F72" s="81"/>
    </row>
    <row r="73" spans="1:6" ht="12.95" customHeight="1" x14ac:dyDescent="0.2">
      <c r="A73" s="2373"/>
      <c r="B73" s="2375"/>
      <c r="C73" s="117"/>
      <c r="D73" s="82"/>
      <c r="E73" s="104" t="s">
        <v>205</v>
      </c>
      <c r="F73" s="81"/>
    </row>
    <row r="74" spans="1:6" ht="5.0999999999999996" customHeight="1" x14ac:dyDescent="0.2">
      <c r="A74" s="89"/>
      <c r="B74" s="83"/>
      <c r="C74" s="81"/>
      <c r="D74" s="82"/>
      <c r="E74" s="113"/>
      <c r="F74" s="81"/>
    </row>
    <row r="75" spans="1:6" ht="12.95" customHeight="1" x14ac:dyDescent="0.2">
      <c r="A75" s="84" t="s">
        <v>206</v>
      </c>
      <c r="B75" s="116" t="s">
        <v>207</v>
      </c>
      <c r="C75" s="117"/>
      <c r="D75" s="82"/>
      <c r="E75" s="115" t="s">
        <v>208</v>
      </c>
      <c r="F75" s="81"/>
    </row>
    <row r="76" spans="1:6" ht="5.0999999999999996" customHeight="1" x14ac:dyDescent="0.25">
      <c r="A76" s="70"/>
      <c r="B76" s="71"/>
      <c r="C76" s="71"/>
      <c r="D76" s="70"/>
      <c r="E76" s="71"/>
      <c r="F76" s="71"/>
    </row>
    <row r="77" spans="1:6" ht="15" x14ac:dyDescent="0.25">
      <c r="A77" s="84" t="s">
        <v>209</v>
      </c>
      <c r="B77" s="116" t="s">
        <v>210</v>
      </c>
      <c r="C77" s="71"/>
      <c r="D77" s="70"/>
      <c r="E77" s="115" t="s">
        <v>211</v>
      </c>
      <c r="F77" s="71"/>
    </row>
    <row r="78" spans="1:6" ht="15" x14ac:dyDescent="0.25">
      <c r="A78" s="70"/>
      <c r="B78" s="71"/>
      <c r="C78" s="71"/>
      <c r="D78" s="70"/>
      <c r="E78" s="71"/>
      <c r="F78" s="71"/>
    </row>
  </sheetData>
  <customSheetViews>
    <customSheetView guid="{DDA6E6AA-9473-49A0-A3A2-76E4959B79AF}" scale="110" fitToPage="1" state="hidden">
      <selection activeCell="G25" sqref="G25"/>
      <pageMargins left="0" right="0" top="0" bottom="0" header="0.31496062992125984" footer="0.31496062992125984"/>
      <pageSetup paperSize="9" orientation="portrait" r:id="rId1"/>
    </customSheetView>
  </customSheetViews>
  <mergeCells count="23">
    <mergeCell ref="A30:A31"/>
    <mergeCell ref="B30:B31"/>
    <mergeCell ref="A3:B3"/>
    <mergeCell ref="A16:A17"/>
    <mergeCell ref="B16:B17"/>
    <mergeCell ref="E19:E20"/>
    <mergeCell ref="E24:E25"/>
    <mergeCell ref="A36:A37"/>
    <mergeCell ref="B36:B37"/>
    <mergeCell ref="A48:A49"/>
    <mergeCell ref="B48:B49"/>
    <mergeCell ref="A51:A52"/>
    <mergeCell ref="B51:B52"/>
    <mergeCell ref="A69:A70"/>
    <mergeCell ref="B69:B70"/>
    <mergeCell ref="A72:A73"/>
    <mergeCell ref="B72:B73"/>
    <mergeCell ref="A54:A55"/>
    <mergeCell ref="B54:B55"/>
    <mergeCell ref="A57:A58"/>
    <mergeCell ref="B57:B58"/>
    <mergeCell ref="A63:A64"/>
    <mergeCell ref="B63:B64"/>
  </mergeCells>
  <pageMargins left="0" right="0" top="0" bottom="0" header="0.31496062992125984" footer="0.31496062992125984"/>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2:M12"/>
  <sheetViews>
    <sheetView workbookViewId="0">
      <selection activeCell="AM60" sqref="AM60"/>
    </sheetView>
  </sheetViews>
  <sheetFormatPr baseColWidth="10" defaultRowHeight="12.75" x14ac:dyDescent="0.2"/>
  <sheetData>
    <row r="2" spans="1:13" x14ac:dyDescent="0.2">
      <c r="A2" s="403">
        <v>43354</v>
      </c>
      <c r="B2" t="s">
        <v>363</v>
      </c>
      <c r="C2" t="s">
        <v>364</v>
      </c>
    </row>
    <row r="3" spans="1:13" x14ac:dyDescent="0.2">
      <c r="A3" s="403">
        <v>43354</v>
      </c>
      <c r="B3" t="s">
        <v>363</v>
      </c>
      <c r="C3" t="s">
        <v>365</v>
      </c>
    </row>
    <row r="4" spans="1:13" x14ac:dyDescent="0.2">
      <c r="A4" s="403">
        <v>43354</v>
      </c>
      <c r="B4" t="s">
        <v>363</v>
      </c>
      <c r="C4" t="s">
        <v>366</v>
      </c>
    </row>
    <row r="5" spans="1:13" x14ac:dyDescent="0.2">
      <c r="C5" s="404" t="s">
        <v>367</v>
      </c>
    </row>
    <row r="6" spans="1:13" x14ac:dyDescent="0.2">
      <c r="C6" s="404" t="s">
        <v>368</v>
      </c>
    </row>
    <row r="7" spans="1:13" x14ac:dyDescent="0.2">
      <c r="C7" s="404" t="s">
        <v>369</v>
      </c>
    </row>
    <row r="8" spans="1:13" x14ac:dyDescent="0.2">
      <c r="C8" s="405" t="s">
        <v>370</v>
      </c>
      <c r="G8" s="2388" t="s">
        <v>376</v>
      </c>
      <c r="H8" s="2388"/>
      <c r="I8" s="2388"/>
      <c r="J8" s="2388"/>
      <c r="K8" s="2388"/>
      <c r="L8" s="6"/>
      <c r="M8" s="6"/>
    </row>
    <row r="9" spans="1:13" x14ac:dyDescent="0.2">
      <c r="C9" s="405" t="s">
        <v>371</v>
      </c>
      <c r="G9" s="2388"/>
      <c r="H9" s="2388"/>
      <c r="I9" s="2388"/>
      <c r="J9" s="2388"/>
      <c r="K9" s="2388"/>
      <c r="L9" s="6"/>
      <c r="M9" s="6"/>
    </row>
    <row r="10" spans="1:13" x14ac:dyDescent="0.2">
      <c r="C10" t="s">
        <v>372</v>
      </c>
      <c r="G10" s="6"/>
      <c r="H10" s="6"/>
      <c r="I10" s="6"/>
      <c r="J10" s="6"/>
      <c r="K10" s="6"/>
      <c r="L10" s="6"/>
      <c r="M10" s="6"/>
    </row>
    <row r="11" spans="1:13" x14ac:dyDescent="0.2">
      <c r="C11" t="s">
        <v>373</v>
      </c>
      <c r="G11" s="6"/>
      <c r="H11" s="6"/>
      <c r="I11" s="6"/>
      <c r="J11" s="6"/>
      <c r="K11" s="6"/>
      <c r="L11" s="6"/>
      <c r="M11" s="6"/>
    </row>
    <row r="12" spans="1:13" x14ac:dyDescent="0.2">
      <c r="A12" s="403">
        <v>43354</v>
      </c>
      <c r="B12" t="s">
        <v>363</v>
      </c>
      <c r="C12" t="s">
        <v>374</v>
      </c>
    </row>
  </sheetData>
  <mergeCells count="1">
    <mergeCell ref="G8:K9"/>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98"/>
  <sheetViews>
    <sheetView topLeftCell="A91" workbookViewId="0">
      <selection activeCell="C98" sqref="C98"/>
    </sheetView>
  </sheetViews>
  <sheetFormatPr baseColWidth="10" defaultRowHeight="12.75" x14ac:dyDescent="0.2"/>
  <sheetData>
    <row r="1" spans="1:11" ht="15" x14ac:dyDescent="0.25">
      <c r="A1" s="631" t="s">
        <v>401</v>
      </c>
      <c r="B1" s="631" t="s">
        <v>402</v>
      </c>
      <c r="C1" s="631"/>
      <c r="D1" s="627" t="s">
        <v>1125</v>
      </c>
      <c r="E1" s="631" t="s">
        <v>403</v>
      </c>
    </row>
    <row r="2" spans="1:11" ht="15" x14ac:dyDescent="0.25">
      <c r="A2" s="631">
        <v>161</v>
      </c>
      <c r="B2" s="631" t="s">
        <v>404</v>
      </c>
      <c r="C2" s="631" t="s">
        <v>404</v>
      </c>
      <c r="D2" s="627">
        <v>640.12352999999996</v>
      </c>
      <c r="E2" s="630" t="s">
        <v>403</v>
      </c>
      <c r="G2" s="526" t="str">
        <f>LEFT('Berechnung Nährstoffe und Lager'!$S$5,3)</f>
        <v>0</v>
      </c>
      <c r="H2" s="526" t="str">
        <f>+G2</f>
        <v>0</v>
      </c>
      <c r="I2" s="526">
        <f>VALUE(H2)</f>
        <v>0</v>
      </c>
      <c r="J2" s="627">
        <f>IF(I2=A2,1,0)</f>
        <v>0</v>
      </c>
      <c r="K2">
        <f>IF(J2&gt;0,D2,0)</f>
        <v>0</v>
      </c>
    </row>
    <row r="3" spans="1:11" ht="15" x14ac:dyDescent="0.25">
      <c r="A3" s="631">
        <v>162</v>
      </c>
      <c r="B3" s="631" t="s">
        <v>405</v>
      </c>
      <c r="C3" s="631" t="s">
        <v>406</v>
      </c>
      <c r="D3" s="627">
        <v>922.24299699999995</v>
      </c>
      <c r="E3" s="630" t="s">
        <v>403</v>
      </c>
      <c r="G3" s="526" t="str">
        <f>LEFT('Berechnung Nährstoffe und Lager'!$S$5,3)</f>
        <v>0</v>
      </c>
      <c r="H3" s="526" t="str">
        <f t="shared" ref="H3:H66" si="0">+G3</f>
        <v>0</v>
      </c>
      <c r="I3" s="526">
        <f t="shared" ref="I3:I66" si="1">VALUE(H3)</f>
        <v>0</v>
      </c>
      <c r="J3" s="627">
        <f t="shared" ref="J3:J66" si="2">IF(I3=A3,1,0)</f>
        <v>0</v>
      </c>
      <c r="K3">
        <f t="shared" ref="K3:K66" si="3">IF(J3&gt;0,D3,0)</f>
        <v>0</v>
      </c>
    </row>
    <row r="4" spans="1:11" ht="15" x14ac:dyDescent="0.25">
      <c r="A4" s="631">
        <v>163</v>
      </c>
      <c r="B4" s="631" t="s">
        <v>407</v>
      </c>
      <c r="C4" s="631" t="s">
        <v>407</v>
      </c>
      <c r="D4" s="627">
        <v>1082.39714</v>
      </c>
      <c r="E4" s="630" t="s">
        <v>403</v>
      </c>
      <c r="G4" s="526" t="str">
        <f>LEFT('Berechnung Nährstoffe und Lager'!$S$5,3)</f>
        <v>0</v>
      </c>
      <c r="H4" s="526" t="str">
        <f t="shared" si="0"/>
        <v>0</v>
      </c>
      <c r="I4" s="526">
        <f t="shared" si="1"/>
        <v>0</v>
      </c>
      <c r="J4" s="627">
        <f t="shared" si="2"/>
        <v>0</v>
      </c>
      <c r="K4">
        <f t="shared" si="3"/>
        <v>0</v>
      </c>
    </row>
    <row r="5" spans="1:11" ht="15" x14ac:dyDescent="0.25">
      <c r="A5" s="631">
        <v>171</v>
      </c>
      <c r="B5" s="631" t="s">
        <v>408</v>
      </c>
      <c r="C5" s="631" t="s">
        <v>409</v>
      </c>
      <c r="D5" s="627">
        <v>838.58480499999996</v>
      </c>
      <c r="E5" s="630" t="s">
        <v>403</v>
      </c>
      <c r="G5" s="526" t="str">
        <f>LEFT('Berechnung Nährstoffe und Lager'!$S$5,3)</f>
        <v>0</v>
      </c>
      <c r="H5" s="526" t="str">
        <f t="shared" si="0"/>
        <v>0</v>
      </c>
      <c r="I5" s="526">
        <f t="shared" si="1"/>
        <v>0</v>
      </c>
      <c r="J5" s="627">
        <f t="shared" si="2"/>
        <v>0</v>
      </c>
      <c r="K5">
        <f t="shared" si="3"/>
        <v>0</v>
      </c>
    </row>
    <row r="6" spans="1:11" ht="15" x14ac:dyDescent="0.25">
      <c r="A6" s="631">
        <v>172</v>
      </c>
      <c r="B6" s="631" t="s">
        <v>410</v>
      </c>
      <c r="C6" s="631" t="s">
        <v>410</v>
      </c>
      <c r="D6" s="627">
        <v>1647.1269649999999</v>
      </c>
      <c r="E6" s="630" t="s">
        <v>403</v>
      </c>
      <c r="G6" s="526" t="str">
        <f>LEFT('Berechnung Nährstoffe und Lager'!$S$5,3)</f>
        <v>0</v>
      </c>
      <c r="H6" s="526" t="str">
        <f t="shared" si="0"/>
        <v>0</v>
      </c>
      <c r="I6" s="526">
        <f t="shared" si="1"/>
        <v>0</v>
      </c>
      <c r="J6" s="627">
        <f t="shared" si="2"/>
        <v>0</v>
      </c>
      <c r="K6">
        <f t="shared" si="3"/>
        <v>0</v>
      </c>
    </row>
    <row r="7" spans="1:11" ht="15" x14ac:dyDescent="0.25">
      <c r="A7" s="631">
        <v>173</v>
      </c>
      <c r="B7" s="631" t="s">
        <v>411</v>
      </c>
      <c r="C7" s="631" t="s">
        <v>412</v>
      </c>
      <c r="D7" s="627">
        <v>1563.8535810000001</v>
      </c>
      <c r="E7" s="630" t="s">
        <v>403</v>
      </c>
      <c r="G7" s="526" t="str">
        <f>LEFT('Berechnung Nährstoffe und Lager'!$S$5,3)</f>
        <v>0</v>
      </c>
      <c r="H7" s="526" t="str">
        <f t="shared" si="0"/>
        <v>0</v>
      </c>
      <c r="I7" s="526">
        <f t="shared" si="1"/>
        <v>0</v>
      </c>
      <c r="J7" s="627">
        <f t="shared" si="2"/>
        <v>0</v>
      </c>
      <c r="K7">
        <f t="shared" si="3"/>
        <v>0</v>
      </c>
    </row>
    <row r="8" spans="1:11" ht="15" x14ac:dyDescent="0.25">
      <c r="A8" s="631">
        <v>174</v>
      </c>
      <c r="B8" s="631" t="s">
        <v>413</v>
      </c>
      <c r="C8" s="631" t="s">
        <v>413</v>
      </c>
      <c r="D8" s="627">
        <v>824.07954900000004</v>
      </c>
      <c r="E8" s="630" t="s">
        <v>403</v>
      </c>
      <c r="G8" s="526" t="str">
        <f>LEFT('Berechnung Nährstoffe und Lager'!$S$5,3)</f>
        <v>0</v>
      </c>
      <c r="H8" s="526" t="str">
        <f t="shared" si="0"/>
        <v>0</v>
      </c>
      <c r="I8" s="526">
        <f t="shared" si="1"/>
        <v>0</v>
      </c>
      <c r="J8" s="627">
        <f t="shared" si="2"/>
        <v>0</v>
      </c>
      <c r="K8">
        <f t="shared" si="3"/>
        <v>0</v>
      </c>
    </row>
    <row r="9" spans="1:11" ht="15" x14ac:dyDescent="0.25">
      <c r="A9" s="631">
        <v>175</v>
      </c>
      <c r="B9" s="631" t="s">
        <v>414</v>
      </c>
      <c r="C9" s="631" t="s">
        <v>414</v>
      </c>
      <c r="D9" s="627">
        <v>980.21459700000003</v>
      </c>
      <c r="E9" s="630" t="s">
        <v>403</v>
      </c>
      <c r="G9" s="526" t="str">
        <f>LEFT('Berechnung Nährstoffe und Lager'!$S$5,3)</f>
        <v>0</v>
      </c>
      <c r="H9" s="526" t="str">
        <f t="shared" si="0"/>
        <v>0</v>
      </c>
      <c r="I9" s="526">
        <f t="shared" si="1"/>
        <v>0</v>
      </c>
      <c r="J9" s="627">
        <f t="shared" si="2"/>
        <v>0</v>
      </c>
      <c r="K9">
        <f t="shared" si="3"/>
        <v>0</v>
      </c>
    </row>
    <row r="10" spans="1:11" ht="15" x14ac:dyDescent="0.25">
      <c r="A10" s="631">
        <v>176</v>
      </c>
      <c r="B10" s="631" t="s">
        <v>415</v>
      </c>
      <c r="C10" s="631" t="s">
        <v>416</v>
      </c>
      <c r="D10" s="627">
        <v>686.72526700000003</v>
      </c>
      <c r="E10" s="630" t="s">
        <v>403</v>
      </c>
      <c r="G10" s="526" t="str">
        <f>LEFT('Berechnung Nährstoffe und Lager'!$S$5,3)</f>
        <v>0</v>
      </c>
      <c r="H10" s="526" t="str">
        <f t="shared" si="0"/>
        <v>0</v>
      </c>
      <c r="I10" s="526">
        <f t="shared" si="1"/>
        <v>0</v>
      </c>
      <c r="J10" s="627">
        <f t="shared" si="2"/>
        <v>0</v>
      </c>
      <c r="K10">
        <f t="shared" si="3"/>
        <v>0</v>
      </c>
    </row>
    <row r="11" spans="1:11" ht="15" x14ac:dyDescent="0.25">
      <c r="A11" s="631">
        <v>177</v>
      </c>
      <c r="B11" s="631" t="s">
        <v>417</v>
      </c>
      <c r="C11" s="631" t="s">
        <v>417</v>
      </c>
      <c r="D11" s="627">
        <v>837.65840200000002</v>
      </c>
      <c r="E11" s="630" t="s">
        <v>403</v>
      </c>
      <c r="G11" s="526" t="str">
        <f>LEFT('Berechnung Nährstoffe und Lager'!$S$5,3)</f>
        <v>0</v>
      </c>
      <c r="H11" s="526" t="str">
        <f t="shared" si="0"/>
        <v>0</v>
      </c>
      <c r="I11" s="526">
        <f t="shared" si="1"/>
        <v>0</v>
      </c>
      <c r="J11" s="627">
        <f t="shared" si="2"/>
        <v>0</v>
      </c>
      <c r="K11">
        <f t="shared" si="3"/>
        <v>0</v>
      </c>
    </row>
    <row r="12" spans="1:11" ht="15" x14ac:dyDescent="0.25">
      <c r="A12" s="631">
        <v>178</v>
      </c>
      <c r="B12" s="631" t="s">
        <v>418</v>
      </c>
      <c r="C12" s="631" t="s">
        <v>418</v>
      </c>
      <c r="D12" s="627">
        <v>786.44949899999995</v>
      </c>
      <c r="E12" s="630" t="s">
        <v>403</v>
      </c>
      <c r="G12" s="526" t="str">
        <f>LEFT('Berechnung Nährstoffe und Lager'!$S$5,3)</f>
        <v>0</v>
      </c>
      <c r="H12" s="526" t="str">
        <f t="shared" si="0"/>
        <v>0</v>
      </c>
      <c r="I12" s="526">
        <f t="shared" si="1"/>
        <v>0</v>
      </c>
      <c r="J12" s="627">
        <f t="shared" si="2"/>
        <v>0</v>
      </c>
      <c r="K12">
        <f t="shared" si="3"/>
        <v>0</v>
      </c>
    </row>
    <row r="13" spans="1:11" ht="15" x14ac:dyDescent="0.25">
      <c r="A13" s="631">
        <v>179</v>
      </c>
      <c r="B13" s="631" t="s">
        <v>419</v>
      </c>
      <c r="C13" s="631" t="s">
        <v>420</v>
      </c>
      <c r="D13" s="627">
        <v>883.64897599999995</v>
      </c>
      <c r="E13" s="630" t="s">
        <v>403</v>
      </c>
      <c r="G13" s="526" t="str">
        <f>LEFT('Berechnung Nährstoffe und Lager'!$S$5,3)</f>
        <v>0</v>
      </c>
      <c r="H13" s="526" t="str">
        <f t="shared" si="0"/>
        <v>0</v>
      </c>
      <c r="I13" s="526">
        <f t="shared" si="1"/>
        <v>0</v>
      </c>
      <c r="J13" s="627">
        <f t="shared" si="2"/>
        <v>0</v>
      </c>
      <c r="K13">
        <f t="shared" si="3"/>
        <v>0</v>
      </c>
    </row>
    <row r="14" spans="1:11" ht="15" x14ac:dyDescent="0.25">
      <c r="A14" s="631">
        <v>180</v>
      </c>
      <c r="B14" s="631" t="s">
        <v>421</v>
      </c>
      <c r="C14" s="631" t="s">
        <v>421</v>
      </c>
      <c r="D14" s="627">
        <v>1629.7768610000001</v>
      </c>
      <c r="E14" s="630" t="s">
        <v>403</v>
      </c>
      <c r="G14" s="526" t="str">
        <f>LEFT('Berechnung Nährstoffe und Lager'!$S$5,3)</f>
        <v>0</v>
      </c>
      <c r="H14" s="526" t="str">
        <f t="shared" si="0"/>
        <v>0</v>
      </c>
      <c r="I14" s="526">
        <f t="shared" si="1"/>
        <v>0</v>
      </c>
      <c r="J14" s="627">
        <f t="shared" si="2"/>
        <v>0</v>
      </c>
      <c r="K14">
        <f t="shared" si="3"/>
        <v>0</v>
      </c>
    </row>
    <row r="15" spans="1:11" ht="15" x14ac:dyDescent="0.25">
      <c r="A15" s="631">
        <v>181</v>
      </c>
      <c r="B15" s="631" t="s">
        <v>422</v>
      </c>
      <c r="C15" s="631" t="s">
        <v>422</v>
      </c>
      <c r="D15" s="627">
        <v>945.77997600000003</v>
      </c>
      <c r="E15" s="630" t="s">
        <v>403</v>
      </c>
      <c r="G15" s="526" t="str">
        <f>LEFT('Berechnung Nährstoffe und Lager'!$S$5,3)</f>
        <v>0</v>
      </c>
      <c r="H15" s="526" t="str">
        <f t="shared" si="0"/>
        <v>0</v>
      </c>
      <c r="I15" s="526">
        <f t="shared" si="1"/>
        <v>0</v>
      </c>
      <c r="J15" s="627">
        <f t="shared" si="2"/>
        <v>0</v>
      </c>
      <c r="K15">
        <f t="shared" si="3"/>
        <v>0</v>
      </c>
    </row>
    <row r="16" spans="1:11" ht="15" x14ac:dyDescent="0.25">
      <c r="A16" s="631">
        <v>182</v>
      </c>
      <c r="B16" s="631" t="s">
        <v>423</v>
      </c>
      <c r="C16" s="631" t="s">
        <v>423</v>
      </c>
      <c r="D16" s="627">
        <v>1609.6775720000001</v>
      </c>
      <c r="E16" s="630" t="s">
        <v>403</v>
      </c>
      <c r="G16" s="526" t="str">
        <f>LEFT('Berechnung Nährstoffe und Lager'!$S$5,3)</f>
        <v>0</v>
      </c>
      <c r="H16" s="526" t="str">
        <f t="shared" si="0"/>
        <v>0</v>
      </c>
      <c r="I16" s="526">
        <f t="shared" si="1"/>
        <v>0</v>
      </c>
      <c r="J16" s="627">
        <f t="shared" si="2"/>
        <v>0</v>
      </c>
      <c r="K16">
        <f t="shared" si="3"/>
        <v>0</v>
      </c>
    </row>
    <row r="17" spans="1:11" ht="15" x14ac:dyDescent="0.25">
      <c r="A17" s="631">
        <v>183</v>
      </c>
      <c r="B17" s="631" t="s">
        <v>424</v>
      </c>
      <c r="C17" s="631" t="s">
        <v>425</v>
      </c>
      <c r="D17" s="627">
        <v>833.142786</v>
      </c>
      <c r="E17" s="630" t="s">
        <v>403</v>
      </c>
      <c r="G17" s="526" t="str">
        <f>LEFT('Berechnung Nährstoffe und Lager'!$S$5,3)</f>
        <v>0</v>
      </c>
      <c r="H17" s="526" t="str">
        <f t="shared" si="0"/>
        <v>0</v>
      </c>
      <c r="I17" s="526">
        <f t="shared" si="1"/>
        <v>0</v>
      </c>
      <c r="J17" s="627">
        <f t="shared" si="2"/>
        <v>0</v>
      </c>
      <c r="K17">
        <f t="shared" si="3"/>
        <v>0</v>
      </c>
    </row>
    <row r="18" spans="1:11" ht="15" x14ac:dyDescent="0.25">
      <c r="A18" s="631">
        <v>184</v>
      </c>
      <c r="B18" s="631" t="s">
        <v>405</v>
      </c>
      <c r="C18" s="631" t="s">
        <v>406</v>
      </c>
      <c r="D18" s="627">
        <v>1003.0563990000001</v>
      </c>
      <c r="E18" s="630" t="s">
        <v>403</v>
      </c>
      <c r="G18" s="526" t="str">
        <f>LEFT('Berechnung Nährstoffe und Lager'!$S$5,3)</f>
        <v>0</v>
      </c>
      <c r="H18" s="526" t="str">
        <f t="shared" si="0"/>
        <v>0</v>
      </c>
      <c r="I18" s="526">
        <f t="shared" si="1"/>
        <v>0</v>
      </c>
      <c r="J18" s="627">
        <f t="shared" si="2"/>
        <v>0</v>
      </c>
      <c r="K18">
        <f t="shared" si="3"/>
        <v>0</v>
      </c>
    </row>
    <row r="19" spans="1:11" ht="15" x14ac:dyDescent="0.25">
      <c r="A19" s="631">
        <v>185</v>
      </c>
      <c r="B19" s="631" t="s">
        <v>426</v>
      </c>
      <c r="C19" s="631" t="s">
        <v>426</v>
      </c>
      <c r="D19" s="627">
        <v>686.67506800000001</v>
      </c>
      <c r="E19" s="630" t="s">
        <v>403</v>
      </c>
      <c r="G19" s="526" t="str">
        <f>LEFT('Berechnung Nährstoffe und Lager'!$S$5,3)</f>
        <v>0</v>
      </c>
      <c r="H19" s="526" t="str">
        <f t="shared" si="0"/>
        <v>0</v>
      </c>
      <c r="I19" s="526">
        <f t="shared" si="1"/>
        <v>0</v>
      </c>
      <c r="J19" s="627">
        <f t="shared" si="2"/>
        <v>0</v>
      </c>
      <c r="K19">
        <f t="shared" si="3"/>
        <v>0</v>
      </c>
    </row>
    <row r="20" spans="1:11" ht="15" x14ac:dyDescent="0.25">
      <c r="A20" s="631">
        <v>186</v>
      </c>
      <c r="B20" s="631" t="s">
        <v>427</v>
      </c>
      <c r="C20" s="631" t="s">
        <v>427</v>
      </c>
      <c r="D20" s="627">
        <v>762.90671099999997</v>
      </c>
      <c r="E20" s="630" t="s">
        <v>403</v>
      </c>
      <c r="G20" s="526" t="str">
        <f>LEFT('Berechnung Nährstoffe und Lager'!$S$5,3)</f>
        <v>0</v>
      </c>
      <c r="H20" s="526" t="str">
        <f t="shared" si="0"/>
        <v>0</v>
      </c>
      <c r="I20" s="526">
        <f t="shared" si="1"/>
        <v>0</v>
      </c>
      <c r="J20" s="627">
        <f t="shared" si="2"/>
        <v>0</v>
      </c>
      <c r="K20">
        <f t="shared" si="3"/>
        <v>0</v>
      </c>
    </row>
    <row r="21" spans="1:11" ht="15" x14ac:dyDescent="0.25">
      <c r="A21" s="631">
        <v>187</v>
      </c>
      <c r="B21" s="631" t="s">
        <v>407</v>
      </c>
      <c r="C21" s="631" t="s">
        <v>407</v>
      </c>
      <c r="D21" s="627">
        <v>1169.56827</v>
      </c>
      <c r="E21" s="630" t="s">
        <v>403</v>
      </c>
      <c r="G21" s="526" t="str">
        <f>LEFT('Berechnung Nährstoffe und Lager'!$S$5,3)</f>
        <v>0</v>
      </c>
      <c r="H21" s="526" t="str">
        <f t="shared" si="0"/>
        <v>0</v>
      </c>
      <c r="I21" s="526">
        <f t="shared" si="1"/>
        <v>0</v>
      </c>
      <c r="J21" s="627">
        <f t="shared" si="2"/>
        <v>0</v>
      </c>
      <c r="K21">
        <f t="shared" si="3"/>
        <v>0</v>
      </c>
    </row>
    <row r="22" spans="1:11" ht="15" x14ac:dyDescent="0.25">
      <c r="A22" s="631">
        <v>188</v>
      </c>
      <c r="B22" s="631" t="s">
        <v>428</v>
      </c>
      <c r="C22" s="631" t="s">
        <v>428</v>
      </c>
      <c r="D22" s="627">
        <v>1016.086788</v>
      </c>
      <c r="E22" s="630" t="s">
        <v>403</v>
      </c>
      <c r="G22" s="526" t="str">
        <f>LEFT('Berechnung Nährstoffe und Lager'!$S$5,3)</f>
        <v>0</v>
      </c>
      <c r="H22" s="526" t="str">
        <f t="shared" si="0"/>
        <v>0</v>
      </c>
      <c r="I22" s="526">
        <f t="shared" si="1"/>
        <v>0</v>
      </c>
      <c r="J22" s="627">
        <f t="shared" si="2"/>
        <v>0</v>
      </c>
      <c r="K22">
        <f t="shared" si="3"/>
        <v>0</v>
      </c>
    </row>
    <row r="23" spans="1:11" ht="15" x14ac:dyDescent="0.25">
      <c r="A23" s="631">
        <v>189</v>
      </c>
      <c r="B23" s="631" t="s">
        <v>429</v>
      </c>
      <c r="C23" s="631" t="s">
        <v>429</v>
      </c>
      <c r="D23" s="627">
        <v>1336.880521</v>
      </c>
      <c r="E23" s="630" t="s">
        <v>403</v>
      </c>
      <c r="G23" s="526" t="str">
        <f>LEFT('Berechnung Nährstoffe und Lager'!$S$5,3)</f>
        <v>0</v>
      </c>
      <c r="H23" s="526" t="str">
        <f t="shared" si="0"/>
        <v>0</v>
      </c>
      <c r="I23" s="526">
        <f t="shared" si="1"/>
        <v>0</v>
      </c>
      <c r="J23" s="627">
        <f t="shared" si="2"/>
        <v>0</v>
      </c>
      <c r="K23">
        <f t="shared" si="3"/>
        <v>0</v>
      </c>
    </row>
    <row r="24" spans="1:11" ht="15" x14ac:dyDescent="0.25">
      <c r="A24" s="631">
        <v>190</v>
      </c>
      <c r="B24" s="631" t="s">
        <v>430</v>
      </c>
      <c r="C24" s="631" t="s">
        <v>430</v>
      </c>
      <c r="D24" s="627">
        <v>1156.053823</v>
      </c>
      <c r="E24" s="630" t="s">
        <v>403</v>
      </c>
      <c r="G24" s="526" t="str">
        <f>LEFT('Berechnung Nährstoffe und Lager'!$S$5,3)</f>
        <v>0</v>
      </c>
      <c r="H24" s="526" t="str">
        <f t="shared" si="0"/>
        <v>0</v>
      </c>
      <c r="I24" s="526">
        <f t="shared" si="1"/>
        <v>0</v>
      </c>
      <c r="J24" s="627">
        <f t="shared" si="2"/>
        <v>0</v>
      </c>
      <c r="K24">
        <f t="shared" si="3"/>
        <v>0</v>
      </c>
    </row>
    <row r="25" spans="1:11" ht="15" x14ac:dyDescent="0.25">
      <c r="A25" s="631">
        <v>261</v>
      </c>
      <c r="B25" s="631" t="s">
        <v>431</v>
      </c>
      <c r="C25" s="631" t="s">
        <v>431</v>
      </c>
      <c r="D25" s="627">
        <v>730.61719000000005</v>
      </c>
      <c r="E25" s="630" t="s">
        <v>403</v>
      </c>
      <c r="G25" s="526" t="str">
        <f>LEFT('Berechnung Nährstoffe und Lager'!$S$5,3)</f>
        <v>0</v>
      </c>
      <c r="H25" s="526" t="str">
        <f t="shared" si="0"/>
        <v>0</v>
      </c>
      <c r="I25" s="526">
        <f t="shared" si="1"/>
        <v>0</v>
      </c>
      <c r="J25" s="627">
        <f t="shared" si="2"/>
        <v>0</v>
      </c>
      <c r="K25">
        <f t="shared" si="3"/>
        <v>0</v>
      </c>
    </row>
    <row r="26" spans="1:11" ht="15" x14ac:dyDescent="0.25">
      <c r="A26" s="631">
        <v>262</v>
      </c>
      <c r="B26" s="631" t="s">
        <v>432</v>
      </c>
      <c r="C26" s="631" t="s">
        <v>432</v>
      </c>
      <c r="D26" s="627">
        <v>802.489554</v>
      </c>
      <c r="E26" s="630" t="s">
        <v>403</v>
      </c>
      <c r="G26" s="526" t="str">
        <f>LEFT('Berechnung Nährstoffe und Lager'!$S$5,3)</f>
        <v>0</v>
      </c>
      <c r="H26" s="526" t="str">
        <f t="shared" si="0"/>
        <v>0</v>
      </c>
      <c r="I26" s="526">
        <f t="shared" si="1"/>
        <v>0</v>
      </c>
      <c r="J26" s="627">
        <f t="shared" si="2"/>
        <v>0</v>
      </c>
      <c r="K26">
        <f t="shared" si="3"/>
        <v>0</v>
      </c>
    </row>
    <row r="27" spans="1:11" ht="15" x14ac:dyDescent="0.25">
      <c r="A27" s="631">
        <v>263</v>
      </c>
      <c r="B27" s="631" t="s">
        <v>433</v>
      </c>
      <c r="C27" s="631" t="s">
        <v>433</v>
      </c>
      <c r="D27" s="627">
        <v>645.95970199999999</v>
      </c>
      <c r="E27" s="630" t="s">
        <v>403</v>
      </c>
      <c r="G27" s="526" t="str">
        <f>LEFT('Berechnung Nährstoffe und Lager'!$S$5,3)</f>
        <v>0</v>
      </c>
      <c r="H27" s="526" t="str">
        <f t="shared" si="0"/>
        <v>0</v>
      </c>
      <c r="I27" s="526">
        <f t="shared" si="1"/>
        <v>0</v>
      </c>
      <c r="J27" s="627">
        <f t="shared" si="2"/>
        <v>0</v>
      </c>
      <c r="K27">
        <f t="shared" si="3"/>
        <v>0</v>
      </c>
    </row>
    <row r="28" spans="1:11" ht="15" x14ac:dyDescent="0.25">
      <c r="A28" s="631">
        <v>271</v>
      </c>
      <c r="B28" s="631" t="s">
        <v>434</v>
      </c>
      <c r="C28" s="631" t="s">
        <v>434</v>
      </c>
      <c r="D28" s="627">
        <v>863.32770700000003</v>
      </c>
      <c r="E28" s="630" t="s">
        <v>403</v>
      </c>
      <c r="G28" s="526" t="str">
        <f>LEFT('Berechnung Nährstoffe und Lager'!$S$5,3)</f>
        <v>0</v>
      </c>
      <c r="H28" s="526" t="str">
        <f t="shared" si="0"/>
        <v>0</v>
      </c>
      <c r="I28" s="526">
        <f t="shared" si="1"/>
        <v>0</v>
      </c>
      <c r="J28" s="627">
        <f t="shared" si="2"/>
        <v>0</v>
      </c>
      <c r="K28">
        <f t="shared" si="3"/>
        <v>0</v>
      </c>
    </row>
    <row r="29" spans="1:11" ht="15" x14ac:dyDescent="0.25">
      <c r="A29" s="631">
        <v>272</v>
      </c>
      <c r="B29" s="631" t="s">
        <v>435</v>
      </c>
      <c r="C29" s="631" t="s">
        <v>435</v>
      </c>
      <c r="D29" s="627">
        <v>1037.8803250000001</v>
      </c>
      <c r="E29" s="630" t="s">
        <v>403</v>
      </c>
      <c r="G29" s="526" t="str">
        <f>LEFT('Berechnung Nährstoffe und Lager'!$S$5,3)</f>
        <v>0</v>
      </c>
      <c r="H29" s="526" t="str">
        <f t="shared" si="0"/>
        <v>0</v>
      </c>
      <c r="I29" s="526">
        <f t="shared" si="1"/>
        <v>0</v>
      </c>
      <c r="J29" s="627">
        <f t="shared" si="2"/>
        <v>0</v>
      </c>
      <c r="K29">
        <f t="shared" si="3"/>
        <v>0</v>
      </c>
    </row>
    <row r="30" spans="1:11" ht="15" x14ac:dyDescent="0.25">
      <c r="A30" s="631">
        <v>273</v>
      </c>
      <c r="B30" s="631" t="s">
        <v>436</v>
      </c>
      <c r="C30" s="631" t="s">
        <v>436</v>
      </c>
      <c r="D30" s="627">
        <v>709.278505</v>
      </c>
      <c r="E30" s="630" t="s">
        <v>403</v>
      </c>
      <c r="G30" s="526" t="str">
        <f>LEFT('Berechnung Nährstoffe und Lager'!$S$5,3)</f>
        <v>0</v>
      </c>
      <c r="H30" s="526" t="str">
        <f t="shared" si="0"/>
        <v>0</v>
      </c>
      <c r="I30" s="526">
        <f t="shared" si="1"/>
        <v>0</v>
      </c>
      <c r="J30" s="627">
        <f t="shared" si="2"/>
        <v>0</v>
      </c>
      <c r="K30">
        <f t="shared" si="3"/>
        <v>0</v>
      </c>
    </row>
    <row r="31" spans="1:11" ht="15" x14ac:dyDescent="0.25">
      <c r="A31" s="631">
        <v>274</v>
      </c>
      <c r="B31" s="631" t="s">
        <v>431</v>
      </c>
      <c r="C31" s="631" t="s">
        <v>431</v>
      </c>
      <c r="D31" s="627">
        <v>754.243607</v>
      </c>
      <c r="E31" s="630" t="s">
        <v>403</v>
      </c>
      <c r="G31" s="526" t="str">
        <f>LEFT('Berechnung Nährstoffe und Lager'!$S$5,3)</f>
        <v>0</v>
      </c>
      <c r="H31" s="526" t="str">
        <f t="shared" si="0"/>
        <v>0</v>
      </c>
      <c r="I31" s="526">
        <f t="shared" si="1"/>
        <v>0</v>
      </c>
      <c r="J31" s="627">
        <f t="shared" si="2"/>
        <v>0</v>
      </c>
      <c r="K31">
        <f t="shared" si="3"/>
        <v>0</v>
      </c>
    </row>
    <row r="32" spans="1:11" ht="15" x14ac:dyDescent="0.25">
      <c r="A32" s="631">
        <v>275</v>
      </c>
      <c r="B32" s="631" t="s">
        <v>432</v>
      </c>
      <c r="C32" s="631" t="s">
        <v>432</v>
      </c>
      <c r="D32" s="627">
        <v>839.23064799999997</v>
      </c>
      <c r="E32" s="630" t="s">
        <v>403</v>
      </c>
      <c r="G32" s="526" t="str">
        <f>LEFT('Berechnung Nährstoffe und Lager'!$S$5,3)</f>
        <v>0</v>
      </c>
      <c r="H32" s="526" t="str">
        <f t="shared" si="0"/>
        <v>0</v>
      </c>
      <c r="I32" s="526">
        <f t="shared" si="1"/>
        <v>0</v>
      </c>
      <c r="J32" s="627">
        <f t="shared" si="2"/>
        <v>0</v>
      </c>
      <c r="K32">
        <f t="shared" si="3"/>
        <v>0</v>
      </c>
    </row>
    <row r="33" spans="1:11" ht="15" x14ac:dyDescent="0.25">
      <c r="A33" s="631">
        <v>276</v>
      </c>
      <c r="B33" s="631" t="s">
        <v>437</v>
      </c>
      <c r="C33" s="631" t="s">
        <v>437</v>
      </c>
      <c r="D33" s="627">
        <v>1056.220593</v>
      </c>
      <c r="E33" s="630" t="s">
        <v>403</v>
      </c>
      <c r="G33" s="526" t="str">
        <f>LEFT('Berechnung Nährstoffe und Lager'!$S$5,3)</f>
        <v>0</v>
      </c>
      <c r="H33" s="526" t="str">
        <f t="shared" si="0"/>
        <v>0</v>
      </c>
      <c r="I33" s="526">
        <f t="shared" si="1"/>
        <v>0</v>
      </c>
      <c r="J33" s="627">
        <f t="shared" si="2"/>
        <v>0</v>
      </c>
      <c r="K33">
        <f t="shared" si="3"/>
        <v>0</v>
      </c>
    </row>
    <row r="34" spans="1:11" ht="15" x14ac:dyDescent="0.25">
      <c r="A34" s="631">
        <v>277</v>
      </c>
      <c r="B34" s="631" t="s">
        <v>438</v>
      </c>
      <c r="C34" s="631" t="s">
        <v>438</v>
      </c>
      <c r="D34" s="627">
        <v>787.36513300000001</v>
      </c>
      <c r="E34" s="630" t="s">
        <v>403</v>
      </c>
      <c r="G34" s="526" t="str">
        <f>LEFT('Berechnung Nährstoffe und Lager'!$S$5,3)</f>
        <v>0</v>
      </c>
      <c r="H34" s="526" t="str">
        <f t="shared" si="0"/>
        <v>0</v>
      </c>
      <c r="I34" s="526">
        <f t="shared" si="1"/>
        <v>0</v>
      </c>
      <c r="J34" s="627">
        <f t="shared" si="2"/>
        <v>0</v>
      </c>
      <c r="K34">
        <f t="shared" si="3"/>
        <v>0</v>
      </c>
    </row>
    <row r="35" spans="1:11" ht="15" x14ac:dyDescent="0.25">
      <c r="A35" s="631">
        <v>278</v>
      </c>
      <c r="B35" s="631" t="s">
        <v>439</v>
      </c>
      <c r="C35" s="631" t="s">
        <v>439</v>
      </c>
      <c r="D35" s="627">
        <v>759.80523800000003</v>
      </c>
      <c r="E35" s="630" t="s">
        <v>403</v>
      </c>
      <c r="G35" s="526" t="str">
        <f>LEFT('Berechnung Nährstoffe und Lager'!$S$5,3)</f>
        <v>0</v>
      </c>
      <c r="H35" s="526" t="str">
        <f t="shared" si="0"/>
        <v>0</v>
      </c>
      <c r="I35" s="526">
        <f t="shared" si="1"/>
        <v>0</v>
      </c>
      <c r="J35" s="627">
        <f t="shared" si="2"/>
        <v>0</v>
      </c>
      <c r="K35">
        <f t="shared" si="3"/>
        <v>0</v>
      </c>
    </row>
    <row r="36" spans="1:11" ht="15" x14ac:dyDescent="0.25">
      <c r="A36" s="631">
        <v>279</v>
      </c>
      <c r="B36" s="631" t="s">
        <v>440</v>
      </c>
      <c r="C36" s="631" t="s">
        <v>440</v>
      </c>
      <c r="D36" s="627">
        <v>713.29511500000001</v>
      </c>
      <c r="E36" s="630" t="s">
        <v>403</v>
      </c>
      <c r="G36" s="526" t="str">
        <f>LEFT('Berechnung Nährstoffe und Lager'!$S$5,3)</f>
        <v>0</v>
      </c>
      <c r="H36" s="526" t="str">
        <f t="shared" si="0"/>
        <v>0</v>
      </c>
      <c r="I36" s="526">
        <f t="shared" si="1"/>
        <v>0</v>
      </c>
      <c r="J36" s="627">
        <f t="shared" si="2"/>
        <v>0</v>
      </c>
      <c r="K36">
        <f t="shared" si="3"/>
        <v>0</v>
      </c>
    </row>
    <row r="37" spans="1:11" ht="15" x14ac:dyDescent="0.25">
      <c r="A37" s="631">
        <v>361</v>
      </c>
      <c r="B37" s="631" t="s">
        <v>441</v>
      </c>
      <c r="C37" s="631" t="s">
        <v>441</v>
      </c>
      <c r="D37" s="627">
        <v>655.67307300000004</v>
      </c>
      <c r="E37" s="630" t="s">
        <v>403</v>
      </c>
      <c r="G37" s="526" t="str">
        <f>LEFT('Berechnung Nährstoffe und Lager'!$S$5,3)</f>
        <v>0</v>
      </c>
      <c r="H37" s="526" t="str">
        <f t="shared" si="0"/>
        <v>0</v>
      </c>
      <c r="I37" s="526">
        <f t="shared" si="1"/>
        <v>0</v>
      </c>
      <c r="J37" s="627">
        <f t="shared" si="2"/>
        <v>0</v>
      </c>
      <c r="K37">
        <f t="shared" si="3"/>
        <v>0</v>
      </c>
    </row>
    <row r="38" spans="1:11" ht="15" x14ac:dyDescent="0.25">
      <c r="A38" s="631">
        <v>362</v>
      </c>
      <c r="B38" s="631" t="s">
        <v>442</v>
      </c>
      <c r="C38" s="631" t="s">
        <v>442</v>
      </c>
      <c r="D38" s="627">
        <v>651.90740700000003</v>
      </c>
      <c r="E38" s="630" t="s">
        <v>403</v>
      </c>
      <c r="G38" s="526" t="str">
        <f>LEFT('Berechnung Nährstoffe und Lager'!$S$5,3)</f>
        <v>0</v>
      </c>
      <c r="H38" s="526" t="str">
        <f t="shared" si="0"/>
        <v>0</v>
      </c>
      <c r="I38" s="526">
        <f t="shared" si="1"/>
        <v>0</v>
      </c>
      <c r="J38" s="627">
        <f t="shared" si="2"/>
        <v>0</v>
      </c>
      <c r="K38">
        <f t="shared" si="3"/>
        <v>0</v>
      </c>
    </row>
    <row r="39" spans="1:11" ht="15" x14ac:dyDescent="0.25">
      <c r="A39" s="631">
        <v>363</v>
      </c>
      <c r="B39" s="631" t="s">
        <v>443</v>
      </c>
      <c r="C39" s="631" t="s">
        <v>443</v>
      </c>
      <c r="D39" s="627">
        <v>678.54225399999996</v>
      </c>
      <c r="E39" s="630" t="s">
        <v>403</v>
      </c>
      <c r="G39" s="526" t="str">
        <f>LEFT('Berechnung Nährstoffe und Lager'!$S$5,3)</f>
        <v>0</v>
      </c>
      <c r="H39" s="526" t="str">
        <f t="shared" si="0"/>
        <v>0</v>
      </c>
      <c r="I39" s="526">
        <f t="shared" si="1"/>
        <v>0</v>
      </c>
      <c r="J39" s="627">
        <f t="shared" si="2"/>
        <v>0</v>
      </c>
      <c r="K39">
        <f t="shared" si="3"/>
        <v>0</v>
      </c>
    </row>
    <row r="40" spans="1:11" ht="15" x14ac:dyDescent="0.25">
      <c r="A40" s="631">
        <v>371</v>
      </c>
      <c r="B40" s="631" t="s">
        <v>444</v>
      </c>
      <c r="C40" s="631" t="s">
        <v>444</v>
      </c>
      <c r="D40" s="627">
        <v>723.58071500000005</v>
      </c>
      <c r="E40" s="630" t="s">
        <v>403</v>
      </c>
      <c r="G40" s="526" t="str">
        <f>LEFT('Berechnung Nährstoffe und Lager'!$S$5,3)</f>
        <v>0</v>
      </c>
      <c r="H40" s="526" t="str">
        <f t="shared" si="0"/>
        <v>0</v>
      </c>
      <c r="I40" s="526">
        <f t="shared" si="1"/>
        <v>0</v>
      </c>
      <c r="J40" s="627">
        <f t="shared" si="2"/>
        <v>0</v>
      </c>
      <c r="K40">
        <f t="shared" si="3"/>
        <v>0</v>
      </c>
    </row>
    <row r="41" spans="1:11" ht="15" x14ac:dyDescent="0.25">
      <c r="A41" s="631">
        <v>372</v>
      </c>
      <c r="B41" s="631" t="s">
        <v>445</v>
      </c>
      <c r="C41" s="631" t="s">
        <v>445</v>
      </c>
      <c r="D41" s="627">
        <v>799.98849199999995</v>
      </c>
      <c r="E41" s="630" t="s">
        <v>403</v>
      </c>
      <c r="G41" s="526" t="str">
        <f>LEFT('Berechnung Nährstoffe und Lager'!$S$5,3)</f>
        <v>0</v>
      </c>
      <c r="H41" s="526" t="str">
        <f t="shared" si="0"/>
        <v>0</v>
      </c>
      <c r="I41" s="526">
        <f t="shared" si="1"/>
        <v>0</v>
      </c>
      <c r="J41" s="627">
        <f t="shared" si="2"/>
        <v>0</v>
      </c>
      <c r="K41">
        <f t="shared" si="3"/>
        <v>0</v>
      </c>
    </row>
    <row r="42" spans="1:11" ht="15" x14ac:dyDescent="0.25">
      <c r="A42" s="631">
        <v>373</v>
      </c>
      <c r="B42" s="631" t="s">
        <v>446</v>
      </c>
      <c r="C42" s="631" t="s">
        <v>446</v>
      </c>
      <c r="D42" s="627">
        <v>756.45569699999999</v>
      </c>
      <c r="E42" s="630" t="s">
        <v>403</v>
      </c>
      <c r="G42" s="526" t="str">
        <f>LEFT('Berechnung Nährstoffe und Lager'!$S$5,3)</f>
        <v>0</v>
      </c>
      <c r="H42" s="526" t="str">
        <f t="shared" si="0"/>
        <v>0</v>
      </c>
      <c r="I42" s="526">
        <f t="shared" si="1"/>
        <v>0</v>
      </c>
      <c r="J42" s="627">
        <f t="shared" si="2"/>
        <v>0</v>
      </c>
      <c r="K42">
        <f t="shared" si="3"/>
        <v>0</v>
      </c>
    </row>
    <row r="43" spans="1:11" ht="15" x14ac:dyDescent="0.25">
      <c r="A43" s="631">
        <v>374</v>
      </c>
      <c r="B43" s="631" t="s">
        <v>447</v>
      </c>
      <c r="C43" s="631" t="s">
        <v>447</v>
      </c>
      <c r="D43" s="627">
        <v>716.99471100000005</v>
      </c>
      <c r="E43" s="630" t="s">
        <v>403</v>
      </c>
      <c r="G43" s="526" t="str">
        <f>LEFT('Berechnung Nährstoffe und Lager'!$S$5,3)</f>
        <v>0</v>
      </c>
      <c r="H43" s="526" t="str">
        <f t="shared" si="0"/>
        <v>0</v>
      </c>
      <c r="I43" s="526">
        <f t="shared" si="1"/>
        <v>0</v>
      </c>
      <c r="J43" s="627">
        <f t="shared" si="2"/>
        <v>0</v>
      </c>
      <c r="K43">
        <f t="shared" si="3"/>
        <v>0</v>
      </c>
    </row>
    <row r="44" spans="1:11" ht="15" x14ac:dyDescent="0.25">
      <c r="A44" s="631">
        <v>375</v>
      </c>
      <c r="B44" s="631" t="s">
        <v>442</v>
      </c>
      <c r="C44" s="631" t="s">
        <v>442</v>
      </c>
      <c r="D44" s="627">
        <v>685.86902799999996</v>
      </c>
      <c r="E44" s="630" t="s">
        <v>403</v>
      </c>
      <c r="G44" s="526" t="str">
        <f>LEFT('Berechnung Nährstoffe und Lager'!$S$5,3)</f>
        <v>0</v>
      </c>
      <c r="H44" s="526" t="str">
        <f t="shared" si="0"/>
        <v>0</v>
      </c>
      <c r="I44" s="526">
        <f t="shared" si="1"/>
        <v>0</v>
      </c>
      <c r="J44" s="627">
        <f t="shared" si="2"/>
        <v>0</v>
      </c>
      <c r="K44">
        <f t="shared" si="3"/>
        <v>0</v>
      </c>
    </row>
    <row r="45" spans="1:11" ht="15" x14ac:dyDescent="0.25">
      <c r="A45" s="631">
        <v>376</v>
      </c>
      <c r="B45" s="631" t="s">
        <v>448</v>
      </c>
      <c r="C45" s="631" t="s">
        <v>448</v>
      </c>
      <c r="D45" s="627">
        <v>691.01655300000004</v>
      </c>
      <c r="E45" s="630" t="s">
        <v>403</v>
      </c>
      <c r="G45" s="526" t="str">
        <f>LEFT('Berechnung Nährstoffe und Lager'!$S$5,3)</f>
        <v>0</v>
      </c>
      <c r="H45" s="526" t="str">
        <f t="shared" si="0"/>
        <v>0</v>
      </c>
      <c r="I45" s="526">
        <f t="shared" si="1"/>
        <v>0</v>
      </c>
      <c r="J45" s="627">
        <f t="shared" si="2"/>
        <v>0</v>
      </c>
      <c r="K45">
        <f t="shared" si="3"/>
        <v>0</v>
      </c>
    </row>
    <row r="46" spans="1:11" ht="15" x14ac:dyDescent="0.25">
      <c r="A46" s="631">
        <v>377</v>
      </c>
      <c r="B46" s="631" t="s">
        <v>449</v>
      </c>
      <c r="C46" s="631" t="s">
        <v>449</v>
      </c>
      <c r="D46" s="627">
        <v>755.23931200000004</v>
      </c>
      <c r="E46" s="630" t="s">
        <v>403</v>
      </c>
      <c r="G46" s="526" t="str">
        <f>LEFT('Berechnung Nährstoffe und Lager'!$S$5,3)</f>
        <v>0</v>
      </c>
      <c r="H46" s="526" t="str">
        <f t="shared" si="0"/>
        <v>0</v>
      </c>
      <c r="I46" s="526">
        <f t="shared" si="1"/>
        <v>0</v>
      </c>
      <c r="J46" s="627">
        <f t="shared" si="2"/>
        <v>0</v>
      </c>
      <c r="K46">
        <f t="shared" si="3"/>
        <v>0</v>
      </c>
    </row>
    <row r="47" spans="1:11" ht="15" x14ac:dyDescent="0.25">
      <c r="A47" s="631">
        <v>461</v>
      </c>
      <c r="B47" s="631" t="s">
        <v>450</v>
      </c>
      <c r="C47" s="631" t="s">
        <v>450</v>
      </c>
      <c r="D47" s="627">
        <v>654.62678900000003</v>
      </c>
      <c r="E47" s="630" t="s">
        <v>403</v>
      </c>
      <c r="G47" s="526" t="str">
        <f>LEFT('Berechnung Nährstoffe und Lager'!$S$5,3)</f>
        <v>0</v>
      </c>
      <c r="H47" s="526" t="str">
        <f t="shared" si="0"/>
        <v>0</v>
      </c>
      <c r="I47" s="526">
        <f t="shared" si="1"/>
        <v>0</v>
      </c>
      <c r="J47" s="627">
        <f t="shared" si="2"/>
        <v>0</v>
      </c>
      <c r="K47">
        <f t="shared" si="3"/>
        <v>0</v>
      </c>
    </row>
    <row r="48" spans="1:11" ht="15" x14ac:dyDescent="0.25">
      <c r="A48" s="631">
        <v>462</v>
      </c>
      <c r="B48" s="631" t="s">
        <v>451</v>
      </c>
      <c r="C48" s="631" t="s">
        <v>451</v>
      </c>
      <c r="D48" s="627">
        <v>708.65522299999998</v>
      </c>
      <c r="E48" s="630" t="s">
        <v>403</v>
      </c>
      <c r="G48" s="526" t="str">
        <f>LEFT('Berechnung Nährstoffe und Lager'!$S$5,3)</f>
        <v>0</v>
      </c>
      <c r="H48" s="526" t="str">
        <f t="shared" si="0"/>
        <v>0</v>
      </c>
      <c r="I48" s="526">
        <f t="shared" si="1"/>
        <v>0</v>
      </c>
      <c r="J48" s="627">
        <f t="shared" si="2"/>
        <v>0</v>
      </c>
      <c r="K48">
        <f t="shared" si="3"/>
        <v>0</v>
      </c>
    </row>
    <row r="49" spans="1:11" ht="15" x14ac:dyDescent="0.25">
      <c r="A49" s="631">
        <v>463</v>
      </c>
      <c r="B49" s="631" t="s">
        <v>452</v>
      </c>
      <c r="C49" s="631" t="s">
        <v>452</v>
      </c>
      <c r="D49" s="627">
        <v>704.94130299999995</v>
      </c>
      <c r="E49" s="630" t="s">
        <v>403</v>
      </c>
      <c r="G49" s="526" t="str">
        <f>LEFT('Berechnung Nährstoffe und Lager'!$S$5,3)</f>
        <v>0</v>
      </c>
      <c r="H49" s="526" t="str">
        <f t="shared" si="0"/>
        <v>0</v>
      </c>
      <c r="I49" s="526">
        <f t="shared" si="1"/>
        <v>0</v>
      </c>
      <c r="J49" s="627">
        <f t="shared" si="2"/>
        <v>0</v>
      </c>
      <c r="K49">
        <f t="shared" si="3"/>
        <v>0</v>
      </c>
    </row>
    <row r="50" spans="1:11" ht="15" x14ac:dyDescent="0.25">
      <c r="A50" s="631">
        <v>464</v>
      </c>
      <c r="B50" s="631" t="s">
        <v>453</v>
      </c>
      <c r="C50" s="631" t="s">
        <v>453</v>
      </c>
      <c r="D50" s="627">
        <v>671.18214499999999</v>
      </c>
      <c r="E50" s="630" t="s">
        <v>403</v>
      </c>
      <c r="G50" s="526" t="str">
        <f>LEFT('Berechnung Nährstoffe und Lager'!$S$5,3)</f>
        <v>0</v>
      </c>
      <c r="H50" s="526" t="str">
        <f t="shared" si="0"/>
        <v>0</v>
      </c>
      <c r="I50" s="526">
        <f t="shared" si="1"/>
        <v>0</v>
      </c>
      <c r="J50" s="627">
        <f t="shared" si="2"/>
        <v>0</v>
      </c>
      <c r="K50">
        <f t="shared" si="3"/>
        <v>0</v>
      </c>
    </row>
    <row r="51" spans="1:11" ht="15" x14ac:dyDescent="0.25">
      <c r="A51" s="631">
        <v>471</v>
      </c>
      <c r="B51" s="631" t="s">
        <v>450</v>
      </c>
      <c r="C51" s="631" t="s">
        <v>450</v>
      </c>
      <c r="D51" s="627">
        <v>704.77094099999999</v>
      </c>
      <c r="E51" s="630" t="s">
        <v>403</v>
      </c>
      <c r="G51" s="526" t="str">
        <f>LEFT('Berechnung Nährstoffe und Lager'!$S$5,3)</f>
        <v>0</v>
      </c>
      <c r="H51" s="526" t="str">
        <f t="shared" si="0"/>
        <v>0</v>
      </c>
      <c r="I51" s="526">
        <f t="shared" si="1"/>
        <v>0</v>
      </c>
      <c r="J51" s="627">
        <f t="shared" si="2"/>
        <v>0</v>
      </c>
      <c r="K51">
        <f t="shared" si="3"/>
        <v>0</v>
      </c>
    </row>
    <row r="52" spans="1:11" ht="15" x14ac:dyDescent="0.25">
      <c r="A52" s="631">
        <v>472</v>
      </c>
      <c r="B52" s="631" t="s">
        <v>451</v>
      </c>
      <c r="C52" s="631" t="s">
        <v>451</v>
      </c>
      <c r="D52" s="627">
        <v>829.28182000000004</v>
      </c>
      <c r="E52" s="630" t="s">
        <v>403</v>
      </c>
      <c r="G52" s="526" t="str">
        <f>LEFT('Berechnung Nährstoffe und Lager'!$S$5,3)</f>
        <v>0</v>
      </c>
      <c r="H52" s="526" t="str">
        <f t="shared" si="0"/>
        <v>0</v>
      </c>
      <c r="I52" s="526">
        <f t="shared" si="1"/>
        <v>0</v>
      </c>
      <c r="J52" s="627">
        <f t="shared" si="2"/>
        <v>0</v>
      </c>
      <c r="K52">
        <f t="shared" si="3"/>
        <v>0</v>
      </c>
    </row>
    <row r="53" spans="1:11" ht="15" x14ac:dyDescent="0.25">
      <c r="A53" s="631">
        <v>473</v>
      </c>
      <c r="B53" s="631" t="s">
        <v>452</v>
      </c>
      <c r="C53" s="631" t="s">
        <v>452</v>
      </c>
      <c r="D53" s="627">
        <v>692.68641600000001</v>
      </c>
      <c r="E53" s="630" t="s">
        <v>403</v>
      </c>
      <c r="G53" s="526" t="str">
        <f>LEFT('Berechnung Nährstoffe und Lager'!$S$5,3)</f>
        <v>0</v>
      </c>
      <c r="H53" s="526" t="str">
        <f t="shared" si="0"/>
        <v>0</v>
      </c>
      <c r="I53" s="526">
        <f t="shared" si="1"/>
        <v>0</v>
      </c>
      <c r="J53" s="627">
        <f t="shared" si="2"/>
        <v>0</v>
      </c>
      <c r="K53">
        <f t="shared" si="3"/>
        <v>0</v>
      </c>
    </row>
    <row r="54" spans="1:11" ht="15" x14ac:dyDescent="0.25">
      <c r="A54" s="631">
        <v>474</v>
      </c>
      <c r="B54" s="631" t="s">
        <v>454</v>
      </c>
      <c r="C54" s="631" t="s">
        <v>454</v>
      </c>
      <c r="D54" s="627">
        <v>787.41430700000001</v>
      </c>
      <c r="E54" s="630" t="s">
        <v>403</v>
      </c>
      <c r="G54" s="526" t="str">
        <f>LEFT('Berechnung Nährstoffe und Lager'!$S$5,3)</f>
        <v>0</v>
      </c>
      <c r="H54" s="526" t="str">
        <f t="shared" si="0"/>
        <v>0</v>
      </c>
      <c r="I54" s="526">
        <f t="shared" si="1"/>
        <v>0</v>
      </c>
      <c r="J54" s="627">
        <f t="shared" si="2"/>
        <v>0</v>
      </c>
      <c r="K54">
        <f t="shared" si="3"/>
        <v>0</v>
      </c>
    </row>
    <row r="55" spans="1:11" ht="15" x14ac:dyDescent="0.25">
      <c r="A55" s="631">
        <v>475</v>
      </c>
      <c r="B55" s="631" t="s">
        <v>453</v>
      </c>
      <c r="C55" s="631" t="s">
        <v>453</v>
      </c>
      <c r="D55" s="627">
        <v>785.08305499999994</v>
      </c>
      <c r="E55" s="630" t="s">
        <v>403</v>
      </c>
      <c r="G55" s="526" t="str">
        <f>LEFT('Berechnung Nährstoffe und Lager'!$S$5,3)</f>
        <v>0</v>
      </c>
      <c r="H55" s="526" t="str">
        <f t="shared" si="0"/>
        <v>0</v>
      </c>
      <c r="I55" s="526">
        <f t="shared" si="1"/>
        <v>0</v>
      </c>
      <c r="J55" s="627">
        <f t="shared" si="2"/>
        <v>0</v>
      </c>
      <c r="K55">
        <f t="shared" si="3"/>
        <v>0</v>
      </c>
    </row>
    <row r="56" spans="1:11" ht="15" x14ac:dyDescent="0.25">
      <c r="A56" s="631">
        <v>476</v>
      </c>
      <c r="B56" s="631" t="s">
        <v>455</v>
      </c>
      <c r="C56" s="631" t="s">
        <v>455</v>
      </c>
      <c r="D56" s="627">
        <v>856.05646200000001</v>
      </c>
      <c r="E56" s="630" t="s">
        <v>403</v>
      </c>
      <c r="G56" s="526" t="str">
        <f>LEFT('Berechnung Nährstoffe und Lager'!$S$5,3)</f>
        <v>0</v>
      </c>
      <c r="H56" s="526" t="str">
        <f t="shared" si="0"/>
        <v>0</v>
      </c>
      <c r="I56" s="526">
        <f t="shared" si="1"/>
        <v>0</v>
      </c>
      <c r="J56" s="627">
        <f t="shared" si="2"/>
        <v>0</v>
      </c>
      <c r="K56">
        <f t="shared" si="3"/>
        <v>0</v>
      </c>
    </row>
    <row r="57" spans="1:11" ht="15" x14ac:dyDescent="0.25">
      <c r="A57" s="631">
        <v>477</v>
      </c>
      <c r="B57" s="631" t="s">
        <v>456</v>
      </c>
      <c r="C57" s="631" t="s">
        <v>456</v>
      </c>
      <c r="D57" s="627">
        <v>777.33454400000005</v>
      </c>
      <c r="E57" s="630" t="s">
        <v>403</v>
      </c>
      <c r="G57" s="526" t="str">
        <f>LEFT('Berechnung Nährstoffe und Lager'!$S$5,3)</f>
        <v>0</v>
      </c>
      <c r="H57" s="526" t="str">
        <f t="shared" si="0"/>
        <v>0</v>
      </c>
      <c r="I57" s="526">
        <f t="shared" si="1"/>
        <v>0</v>
      </c>
      <c r="J57" s="627">
        <f t="shared" si="2"/>
        <v>0</v>
      </c>
      <c r="K57">
        <f t="shared" si="3"/>
        <v>0</v>
      </c>
    </row>
    <row r="58" spans="1:11" ht="15" x14ac:dyDescent="0.25">
      <c r="A58" s="631">
        <v>478</v>
      </c>
      <c r="B58" s="631" t="s">
        <v>457</v>
      </c>
      <c r="C58" s="631" t="s">
        <v>457</v>
      </c>
      <c r="D58" s="627">
        <v>687.08822399999997</v>
      </c>
      <c r="E58" s="630" t="s">
        <v>403</v>
      </c>
      <c r="G58" s="526" t="str">
        <f>LEFT('Berechnung Nährstoffe und Lager'!$S$5,3)</f>
        <v>0</v>
      </c>
      <c r="H58" s="526" t="str">
        <f t="shared" si="0"/>
        <v>0</v>
      </c>
      <c r="I58" s="526">
        <f t="shared" si="1"/>
        <v>0</v>
      </c>
      <c r="J58" s="627">
        <f t="shared" si="2"/>
        <v>0</v>
      </c>
      <c r="K58">
        <f t="shared" si="3"/>
        <v>0</v>
      </c>
    </row>
    <row r="59" spans="1:11" ht="15" x14ac:dyDescent="0.25">
      <c r="A59" s="631">
        <v>479</v>
      </c>
      <c r="B59" s="631" t="s">
        <v>458</v>
      </c>
      <c r="C59" s="631" t="s">
        <v>458</v>
      </c>
      <c r="D59" s="627">
        <v>776.86988299999996</v>
      </c>
      <c r="E59" s="630" t="s">
        <v>403</v>
      </c>
      <c r="G59" s="526" t="str">
        <f>LEFT('Berechnung Nährstoffe und Lager'!$S$5,3)</f>
        <v>0</v>
      </c>
      <c r="H59" s="526" t="str">
        <f t="shared" si="0"/>
        <v>0</v>
      </c>
      <c r="I59" s="526">
        <f t="shared" si="1"/>
        <v>0</v>
      </c>
      <c r="J59" s="627">
        <f t="shared" si="2"/>
        <v>0</v>
      </c>
      <c r="K59">
        <f t="shared" si="3"/>
        <v>0</v>
      </c>
    </row>
    <row r="60" spans="1:11" ht="15" x14ac:dyDescent="0.25">
      <c r="A60" s="631">
        <v>561</v>
      </c>
      <c r="B60" s="631" t="s">
        <v>459</v>
      </c>
      <c r="C60" s="631" t="s">
        <v>459</v>
      </c>
      <c r="D60" s="627">
        <v>654.373738</v>
      </c>
      <c r="E60" s="630" t="s">
        <v>403</v>
      </c>
      <c r="G60" s="526" t="str">
        <f>LEFT('Berechnung Nährstoffe und Lager'!$S$5,3)</f>
        <v>0</v>
      </c>
      <c r="H60" s="526" t="str">
        <f t="shared" si="0"/>
        <v>0</v>
      </c>
      <c r="I60" s="526">
        <f t="shared" si="1"/>
        <v>0</v>
      </c>
      <c r="J60" s="627">
        <f t="shared" si="2"/>
        <v>0</v>
      </c>
      <c r="K60">
        <f t="shared" si="3"/>
        <v>0</v>
      </c>
    </row>
    <row r="61" spans="1:11" ht="15" x14ac:dyDescent="0.25">
      <c r="A61" s="631">
        <v>562</v>
      </c>
      <c r="B61" s="631" t="s">
        <v>460</v>
      </c>
      <c r="C61" s="631" t="s">
        <v>460</v>
      </c>
      <c r="D61" s="627">
        <v>638.50384599999995</v>
      </c>
      <c r="E61" s="630" t="s">
        <v>403</v>
      </c>
      <c r="G61" s="526" t="str">
        <f>LEFT('Berechnung Nährstoffe und Lager'!$S$5,3)</f>
        <v>0</v>
      </c>
      <c r="H61" s="526" t="str">
        <f t="shared" si="0"/>
        <v>0</v>
      </c>
      <c r="I61" s="526">
        <f t="shared" si="1"/>
        <v>0</v>
      </c>
      <c r="J61" s="627">
        <f t="shared" si="2"/>
        <v>0</v>
      </c>
      <c r="K61">
        <f t="shared" si="3"/>
        <v>0</v>
      </c>
    </row>
    <row r="62" spans="1:11" ht="15" x14ac:dyDescent="0.25">
      <c r="A62" s="631">
        <v>563</v>
      </c>
      <c r="B62" s="631" t="s">
        <v>461</v>
      </c>
      <c r="C62" s="631" t="s">
        <v>462</v>
      </c>
      <c r="D62" s="627">
        <v>593.42742399999997</v>
      </c>
      <c r="E62" s="630" t="s">
        <v>403</v>
      </c>
      <c r="G62" s="526" t="str">
        <f>LEFT('Berechnung Nährstoffe und Lager'!$S$5,3)</f>
        <v>0</v>
      </c>
      <c r="H62" s="526" t="str">
        <f t="shared" si="0"/>
        <v>0</v>
      </c>
      <c r="I62" s="526">
        <f t="shared" si="1"/>
        <v>0</v>
      </c>
      <c r="J62" s="627">
        <f t="shared" si="2"/>
        <v>0</v>
      </c>
      <c r="K62">
        <f t="shared" si="3"/>
        <v>0</v>
      </c>
    </row>
    <row r="63" spans="1:11" ht="15" x14ac:dyDescent="0.25">
      <c r="A63" s="631">
        <v>564</v>
      </c>
      <c r="B63" s="631" t="s">
        <v>463</v>
      </c>
      <c r="C63" s="631" t="s">
        <v>464</v>
      </c>
      <c r="D63" s="627">
        <v>625.93068500000004</v>
      </c>
      <c r="E63" s="630" t="s">
        <v>403</v>
      </c>
      <c r="G63" s="526" t="str">
        <f>LEFT('Berechnung Nährstoffe und Lager'!$S$5,3)</f>
        <v>0</v>
      </c>
      <c r="H63" s="526" t="str">
        <f t="shared" si="0"/>
        <v>0</v>
      </c>
      <c r="I63" s="526">
        <f t="shared" si="1"/>
        <v>0</v>
      </c>
      <c r="J63" s="627">
        <f t="shared" si="2"/>
        <v>0</v>
      </c>
      <c r="K63">
        <f t="shared" si="3"/>
        <v>0</v>
      </c>
    </row>
    <row r="64" spans="1:11" ht="15" x14ac:dyDescent="0.25">
      <c r="A64" s="631">
        <v>565</v>
      </c>
      <c r="B64" s="631" t="s">
        <v>465</v>
      </c>
      <c r="C64" s="631" t="s">
        <v>465</v>
      </c>
      <c r="D64" s="627">
        <v>625.31951200000003</v>
      </c>
      <c r="E64" s="630" t="s">
        <v>403</v>
      </c>
      <c r="G64" s="526" t="str">
        <f>LEFT('Berechnung Nährstoffe und Lager'!$S$5,3)</f>
        <v>0</v>
      </c>
      <c r="H64" s="526" t="str">
        <f t="shared" si="0"/>
        <v>0</v>
      </c>
      <c r="I64" s="526">
        <f t="shared" si="1"/>
        <v>0</v>
      </c>
      <c r="J64" s="627">
        <f t="shared" si="2"/>
        <v>0</v>
      </c>
      <c r="K64">
        <f t="shared" si="3"/>
        <v>0</v>
      </c>
    </row>
    <row r="65" spans="1:11" ht="15" x14ac:dyDescent="0.25">
      <c r="A65" s="631">
        <v>571</v>
      </c>
      <c r="B65" s="631" t="s">
        <v>459</v>
      </c>
      <c r="C65" s="631" t="s">
        <v>459</v>
      </c>
      <c r="D65" s="627">
        <v>665.82459400000005</v>
      </c>
      <c r="E65" s="630" t="s">
        <v>403</v>
      </c>
      <c r="G65" s="526" t="str">
        <f>LEFT('Berechnung Nährstoffe und Lager'!$S$5,3)</f>
        <v>0</v>
      </c>
      <c r="H65" s="526" t="str">
        <f t="shared" si="0"/>
        <v>0</v>
      </c>
      <c r="I65" s="526">
        <f t="shared" si="1"/>
        <v>0</v>
      </c>
      <c r="J65" s="627">
        <f t="shared" si="2"/>
        <v>0</v>
      </c>
      <c r="K65">
        <f t="shared" si="3"/>
        <v>0</v>
      </c>
    </row>
    <row r="66" spans="1:11" ht="15" x14ac:dyDescent="0.25">
      <c r="A66" s="631">
        <v>572</v>
      </c>
      <c r="B66" s="631" t="s">
        <v>466</v>
      </c>
      <c r="C66" s="631" t="s">
        <v>467</v>
      </c>
      <c r="D66" s="627">
        <v>643.21232199999997</v>
      </c>
      <c r="E66" s="630" t="s">
        <v>403</v>
      </c>
      <c r="G66" s="526" t="str">
        <f>LEFT('Berechnung Nährstoffe und Lager'!$S$5,3)</f>
        <v>0</v>
      </c>
      <c r="H66" s="526" t="str">
        <f t="shared" si="0"/>
        <v>0</v>
      </c>
      <c r="I66" s="526">
        <f t="shared" si="1"/>
        <v>0</v>
      </c>
      <c r="J66" s="627">
        <f t="shared" si="2"/>
        <v>0</v>
      </c>
      <c r="K66">
        <f t="shared" si="3"/>
        <v>0</v>
      </c>
    </row>
    <row r="67" spans="1:11" ht="15" x14ac:dyDescent="0.25">
      <c r="A67" s="631">
        <v>573</v>
      </c>
      <c r="B67" s="631" t="s">
        <v>461</v>
      </c>
      <c r="C67" s="631" t="s">
        <v>462</v>
      </c>
      <c r="D67" s="627">
        <v>597.18612900000005</v>
      </c>
      <c r="E67" s="630" t="s">
        <v>403</v>
      </c>
      <c r="G67" s="526" t="str">
        <f>LEFT('Berechnung Nährstoffe und Lager'!$S$5,3)</f>
        <v>0</v>
      </c>
      <c r="H67" s="526" t="str">
        <f t="shared" ref="H67:H97" si="4">+G67</f>
        <v>0</v>
      </c>
      <c r="I67" s="526">
        <f t="shared" ref="I67:I97" si="5">VALUE(H67)</f>
        <v>0</v>
      </c>
      <c r="J67" s="627">
        <f t="shared" ref="J67:J97" si="6">IF(I67=A67,1,0)</f>
        <v>0</v>
      </c>
      <c r="K67">
        <f t="shared" ref="K67:K97" si="7">IF(J67&gt;0,D67,0)</f>
        <v>0</v>
      </c>
    </row>
    <row r="68" spans="1:11" ht="15" x14ac:dyDescent="0.25">
      <c r="A68" s="631">
        <v>574</v>
      </c>
      <c r="B68" s="631" t="s">
        <v>468</v>
      </c>
      <c r="C68" s="631" t="s">
        <v>469</v>
      </c>
      <c r="D68" s="627">
        <v>815.37063999999998</v>
      </c>
      <c r="E68" s="630" t="s">
        <v>403</v>
      </c>
      <c r="G68" s="526" t="str">
        <f>LEFT('Berechnung Nährstoffe und Lager'!$S$5,3)</f>
        <v>0</v>
      </c>
      <c r="H68" s="526" t="str">
        <f t="shared" si="4"/>
        <v>0</v>
      </c>
      <c r="I68" s="526">
        <f t="shared" si="5"/>
        <v>0</v>
      </c>
      <c r="J68" s="627">
        <f t="shared" si="6"/>
        <v>0</v>
      </c>
      <c r="K68">
        <f t="shared" si="7"/>
        <v>0</v>
      </c>
    </row>
    <row r="69" spans="1:11" ht="15" x14ac:dyDescent="0.25">
      <c r="A69" s="631">
        <v>575</v>
      </c>
      <c r="B69" s="631" t="s">
        <v>470</v>
      </c>
      <c r="C69" s="631" t="s">
        <v>470</v>
      </c>
      <c r="D69" s="627">
        <v>625.737844</v>
      </c>
      <c r="E69" s="630" t="s">
        <v>403</v>
      </c>
      <c r="G69" s="526" t="str">
        <f>LEFT('Berechnung Nährstoffe und Lager'!$S$5,3)</f>
        <v>0</v>
      </c>
      <c r="H69" s="526" t="str">
        <f t="shared" si="4"/>
        <v>0</v>
      </c>
      <c r="I69" s="526">
        <f t="shared" si="5"/>
        <v>0</v>
      </c>
      <c r="J69" s="627">
        <f t="shared" si="6"/>
        <v>0</v>
      </c>
      <c r="K69">
        <f t="shared" si="7"/>
        <v>0</v>
      </c>
    </row>
    <row r="70" spans="1:11" ht="15" x14ac:dyDescent="0.25">
      <c r="A70" s="631">
        <v>576</v>
      </c>
      <c r="B70" s="631" t="s">
        <v>471</v>
      </c>
      <c r="C70" s="631" t="s">
        <v>471</v>
      </c>
      <c r="D70" s="627">
        <v>679.82324100000005</v>
      </c>
      <c r="E70" s="630" t="s">
        <v>403</v>
      </c>
      <c r="G70" s="526" t="str">
        <f>LEFT('Berechnung Nährstoffe und Lager'!$S$5,3)</f>
        <v>0</v>
      </c>
      <c r="H70" s="526" t="str">
        <f t="shared" si="4"/>
        <v>0</v>
      </c>
      <c r="I70" s="526">
        <f t="shared" si="5"/>
        <v>0</v>
      </c>
      <c r="J70" s="627">
        <f t="shared" si="6"/>
        <v>0</v>
      </c>
      <c r="K70">
        <f t="shared" si="7"/>
        <v>0</v>
      </c>
    </row>
    <row r="71" spans="1:11" ht="15" x14ac:dyDescent="0.25">
      <c r="A71" s="631">
        <v>577</v>
      </c>
      <c r="B71" s="631" t="s">
        <v>472</v>
      </c>
      <c r="C71" s="631" t="s">
        <v>473</v>
      </c>
      <c r="D71" s="627">
        <v>708.783368</v>
      </c>
      <c r="E71" s="630" t="s">
        <v>403</v>
      </c>
      <c r="G71" s="526" t="str">
        <f>LEFT('Berechnung Nährstoffe und Lager'!$S$5,3)</f>
        <v>0</v>
      </c>
      <c r="H71" s="526" t="str">
        <f t="shared" si="4"/>
        <v>0</v>
      </c>
      <c r="I71" s="526">
        <f t="shared" si="5"/>
        <v>0</v>
      </c>
      <c r="J71" s="627">
        <f t="shared" si="6"/>
        <v>0</v>
      </c>
      <c r="K71">
        <f t="shared" si="7"/>
        <v>0</v>
      </c>
    </row>
    <row r="72" spans="1:11" ht="15" x14ac:dyDescent="0.25">
      <c r="A72" s="631">
        <v>661</v>
      </c>
      <c r="B72" s="631" t="s">
        <v>474</v>
      </c>
      <c r="C72" s="631" t="s">
        <v>474</v>
      </c>
      <c r="D72" s="627">
        <v>673.830646</v>
      </c>
      <c r="E72" s="630" t="s">
        <v>403</v>
      </c>
      <c r="G72" s="526" t="str">
        <f>LEFT('Berechnung Nährstoffe und Lager'!$S$5,3)</f>
        <v>0</v>
      </c>
      <c r="H72" s="526" t="str">
        <f t="shared" si="4"/>
        <v>0</v>
      </c>
      <c r="I72" s="526">
        <f t="shared" si="5"/>
        <v>0</v>
      </c>
      <c r="J72" s="627">
        <f t="shared" si="6"/>
        <v>0</v>
      </c>
      <c r="K72">
        <f t="shared" si="7"/>
        <v>0</v>
      </c>
    </row>
    <row r="73" spans="1:11" ht="15" x14ac:dyDescent="0.25">
      <c r="A73" s="631">
        <v>662</v>
      </c>
      <c r="B73" s="631" t="s">
        <v>475</v>
      </c>
      <c r="C73" s="631" t="s">
        <v>475</v>
      </c>
      <c r="D73" s="1592">
        <v>564.33142399999997</v>
      </c>
      <c r="E73" s="630" t="s">
        <v>403</v>
      </c>
      <c r="G73" s="526" t="str">
        <f>LEFT('Berechnung Nährstoffe und Lager'!$S$5,3)</f>
        <v>0</v>
      </c>
      <c r="H73" s="526" t="str">
        <f t="shared" si="4"/>
        <v>0</v>
      </c>
      <c r="I73" s="526">
        <f t="shared" si="5"/>
        <v>0</v>
      </c>
      <c r="J73" s="627">
        <f t="shared" si="6"/>
        <v>0</v>
      </c>
      <c r="K73">
        <f t="shared" si="7"/>
        <v>0</v>
      </c>
    </row>
    <row r="74" spans="1:11" ht="15" x14ac:dyDescent="0.25">
      <c r="A74" s="631">
        <v>663</v>
      </c>
      <c r="B74" s="631" t="s">
        <v>476</v>
      </c>
      <c r="C74" s="631" t="s">
        <v>477</v>
      </c>
      <c r="D74" s="627">
        <v>595.49780299999998</v>
      </c>
      <c r="E74" s="630" t="s">
        <v>403</v>
      </c>
      <c r="G74" s="526" t="str">
        <f>LEFT('Berechnung Nährstoffe und Lager'!$S$5,3)</f>
        <v>0</v>
      </c>
      <c r="H74" s="526" t="str">
        <f t="shared" si="4"/>
        <v>0</v>
      </c>
      <c r="I74" s="526">
        <f t="shared" si="5"/>
        <v>0</v>
      </c>
      <c r="J74" s="627">
        <f t="shared" si="6"/>
        <v>0</v>
      </c>
      <c r="K74">
        <f t="shared" si="7"/>
        <v>0</v>
      </c>
    </row>
    <row r="75" spans="1:11" ht="15" x14ac:dyDescent="0.25">
      <c r="A75" s="631">
        <v>671</v>
      </c>
      <c r="B75" s="631" t="s">
        <v>474</v>
      </c>
      <c r="C75" s="631" t="s">
        <v>474</v>
      </c>
      <c r="D75" s="627">
        <v>817.63741000000005</v>
      </c>
      <c r="E75" s="630" t="s">
        <v>403</v>
      </c>
      <c r="G75" s="526" t="str">
        <f>LEFT('Berechnung Nährstoffe und Lager'!$S$5,3)</f>
        <v>0</v>
      </c>
      <c r="H75" s="526" t="str">
        <f t="shared" si="4"/>
        <v>0</v>
      </c>
      <c r="I75" s="526">
        <f t="shared" si="5"/>
        <v>0</v>
      </c>
      <c r="J75" s="627">
        <f t="shared" si="6"/>
        <v>0</v>
      </c>
      <c r="K75">
        <f t="shared" si="7"/>
        <v>0</v>
      </c>
    </row>
    <row r="76" spans="1:11" ht="15" x14ac:dyDescent="0.25">
      <c r="A76" s="631">
        <v>672</v>
      </c>
      <c r="B76" s="631" t="s">
        <v>478</v>
      </c>
      <c r="C76" s="631" t="s">
        <v>478</v>
      </c>
      <c r="D76" s="627">
        <v>705.02735299999995</v>
      </c>
      <c r="E76" s="630" t="s">
        <v>403</v>
      </c>
      <c r="G76" s="526" t="str">
        <f>LEFT('Berechnung Nährstoffe und Lager'!$S$5,3)</f>
        <v>0</v>
      </c>
      <c r="H76" s="526" t="str">
        <f t="shared" si="4"/>
        <v>0</v>
      </c>
      <c r="I76" s="526">
        <f t="shared" si="5"/>
        <v>0</v>
      </c>
      <c r="J76" s="627">
        <f t="shared" si="6"/>
        <v>0</v>
      </c>
      <c r="K76">
        <f t="shared" si="7"/>
        <v>0</v>
      </c>
    </row>
    <row r="77" spans="1:11" ht="15" x14ac:dyDescent="0.25">
      <c r="A77" s="631">
        <v>673</v>
      </c>
      <c r="B77" s="631" t="s">
        <v>479</v>
      </c>
      <c r="C77" s="631" t="s">
        <v>480</v>
      </c>
      <c r="D77" s="627">
        <v>687.12897299999997</v>
      </c>
      <c r="E77" s="630" t="s">
        <v>403</v>
      </c>
      <c r="G77" s="526" t="str">
        <f>LEFT('Berechnung Nährstoffe und Lager'!$S$5,3)</f>
        <v>0</v>
      </c>
      <c r="H77" s="526" t="str">
        <f t="shared" si="4"/>
        <v>0</v>
      </c>
      <c r="I77" s="526">
        <f t="shared" si="5"/>
        <v>0</v>
      </c>
      <c r="J77" s="627">
        <f t="shared" si="6"/>
        <v>0</v>
      </c>
      <c r="K77">
        <f t="shared" si="7"/>
        <v>0</v>
      </c>
    </row>
    <row r="78" spans="1:11" ht="15" x14ac:dyDescent="0.25">
      <c r="A78" s="631">
        <v>674</v>
      </c>
      <c r="B78" s="631" t="s">
        <v>481</v>
      </c>
      <c r="C78" s="631" t="s">
        <v>482</v>
      </c>
      <c r="D78" s="627">
        <v>656.08376599999997</v>
      </c>
      <c r="E78" s="630" t="s">
        <v>403</v>
      </c>
      <c r="G78" s="526" t="str">
        <f>LEFT('Berechnung Nährstoffe und Lager'!$S$5,3)</f>
        <v>0</v>
      </c>
      <c r="H78" s="526" t="str">
        <f t="shared" si="4"/>
        <v>0</v>
      </c>
      <c r="I78" s="526">
        <f t="shared" si="5"/>
        <v>0</v>
      </c>
      <c r="J78" s="627">
        <f t="shared" si="6"/>
        <v>0</v>
      </c>
      <c r="K78">
        <f t="shared" si="7"/>
        <v>0</v>
      </c>
    </row>
    <row r="79" spans="1:11" ht="15" x14ac:dyDescent="0.25">
      <c r="A79" s="631">
        <v>675</v>
      </c>
      <c r="B79" s="631" t="s">
        <v>483</v>
      </c>
      <c r="C79" s="631" t="s">
        <v>483</v>
      </c>
      <c r="D79" s="627">
        <v>601.45065599999998</v>
      </c>
      <c r="E79" s="630" t="s">
        <v>403</v>
      </c>
      <c r="G79" s="526" t="str">
        <f>LEFT('Berechnung Nährstoffe und Lager'!$S$5,3)</f>
        <v>0</v>
      </c>
      <c r="H79" s="526" t="str">
        <f t="shared" si="4"/>
        <v>0</v>
      </c>
      <c r="I79" s="526">
        <f t="shared" si="5"/>
        <v>0</v>
      </c>
      <c r="J79" s="627">
        <f t="shared" si="6"/>
        <v>0</v>
      </c>
      <c r="K79">
        <f t="shared" si="7"/>
        <v>0</v>
      </c>
    </row>
    <row r="80" spans="1:11" ht="15" x14ac:dyDescent="0.25">
      <c r="A80" s="631">
        <v>676</v>
      </c>
      <c r="B80" s="631" t="s">
        <v>484</v>
      </c>
      <c r="C80" s="631" t="s">
        <v>484</v>
      </c>
      <c r="D80" s="627">
        <v>735.46374900000001</v>
      </c>
      <c r="E80" s="630" t="s">
        <v>403</v>
      </c>
      <c r="G80" s="526" t="str">
        <f>LEFT('Berechnung Nährstoffe und Lager'!$S$5,3)</f>
        <v>0</v>
      </c>
      <c r="H80" s="526" t="str">
        <f t="shared" si="4"/>
        <v>0</v>
      </c>
      <c r="I80" s="526">
        <f t="shared" si="5"/>
        <v>0</v>
      </c>
      <c r="J80" s="627">
        <f t="shared" si="6"/>
        <v>0</v>
      </c>
      <c r="K80">
        <f t="shared" si="7"/>
        <v>0</v>
      </c>
    </row>
    <row r="81" spans="1:11" ht="15" x14ac:dyDescent="0.25">
      <c r="A81" s="631">
        <v>677</v>
      </c>
      <c r="B81" s="631" t="s">
        <v>485</v>
      </c>
      <c r="C81" s="631" t="s">
        <v>485</v>
      </c>
      <c r="D81" s="627">
        <v>735.46373200000005</v>
      </c>
      <c r="E81" s="630" t="s">
        <v>403</v>
      </c>
      <c r="G81" s="526" t="str">
        <f>LEFT('Berechnung Nährstoffe und Lager'!$S$5,3)</f>
        <v>0</v>
      </c>
      <c r="H81" s="526" t="str">
        <f t="shared" si="4"/>
        <v>0</v>
      </c>
      <c r="I81" s="526">
        <f t="shared" si="5"/>
        <v>0</v>
      </c>
      <c r="J81" s="627">
        <f t="shared" si="6"/>
        <v>0</v>
      </c>
      <c r="K81">
        <f t="shared" si="7"/>
        <v>0</v>
      </c>
    </row>
    <row r="82" spans="1:11" ht="15" x14ac:dyDescent="0.25">
      <c r="A82" s="631">
        <v>678</v>
      </c>
      <c r="B82" s="631" t="s">
        <v>475</v>
      </c>
      <c r="C82" s="631" t="s">
        <v>475</v>
      </c>
      <c r="D82" s="627">
        <v>609.58074599999998</v>
      </c>
      <c r="E82" s="630" t="s">
        <v>403</v>
      </c>
      <c r="G82" s="526" t="str">
        <f>LEFT('Berechnung Nährstoffe und Lager'!$S$5,3)</f>
        <v>0</v>
      </c>
      <c r="H82" s="526" t="str">
        <f t="shared" si="4"/>
        <v>0</v>
      </c>
      <c r="I82" s="526">
        <f t="shared" si="5"/>
        <v>0</v>
      </c>
      <c r="J82" s="627">
        <f t="shared" si="6"/>
        <v>0</v>
      </c>
      <c r="K82">
        <f t="shared" si="7"/>
        <v>0</v>
      </c>
    </row>
    <row r="83" spans="1:11" ht="15" x14ac:dyDescent="0.25">
      <c r="A83" s="631">
        <v>679</v>
      </c>
      <c r="B83" s="631" t="s">
        <v>476</v>
      </c>
      <c r="C83" s="631" t="s">
        <v>477</v>
      </c>
      <c r="D83" s="627">
        <v>616.81388200000004</v>
      </c>
      <c r="E83" s="630" t="s">
        <v>403</v>
      </c>
      <c r="G83" s="526" t="str">
        <f>LEFT('Berechnung Nährstoffe und Lager'!$S$5,3)</f>
        <v>0</v>
      </c>
      <c r="H83" s="526" t="str">
        <f t="shared" si="4"/>
        <v>0</v>
      </c>
      <c r="I83" s="526">
        <f t="shared" si="5"/>
        <v>0</v>
      </c>
      <c r="J83" s="627">
        <f t="shared" si="6"/>
        <v>0</v>
      </c>
      <c r="K83">
        <f t="shared" si="7"/>
        <v>0</v>
      </c>
    </row>
    <row r="84" spans="1:11" ht="15" x14ac:dyDescent="0.25">
      <c r="A84" s="631">
        <v>761</v>
      </c>
      <c r="B84" s="631" t="s">
        <v>486</v>
      </c>
      <c r="C84" s="631" t="s">
        <v>486</v>
      </c>
      <c r="D84" s="627">
        <v>798.79999899999996</v>
      </c>
      <c r="E84" s="630" t="s">
        <v>403</v>
      </c>
      <c r="G84" s="526" t="str">
        <f>LEFT('Berechnung Nährstoffe und Lager'!$S$5,3)</f>
        <v>0</v>
      </c>
      <c r="H84" s="526" t="str">
        <f t="shared" si="4"/>
        <v>0</v>
      </c>
      <c r="I84" s="526">
        <f t="shared" si="5"/>
        <v>0</v>
      </c>
      <c r="J84" s="627">
        <f t="shared" si="6"/>
        <v>0</v>
      </c>
      <c r="K84">
        <f t="shared" si="7"/>
        <v>0</v>
      </c>
    </row>
    <row r="85" spans="1:11" ht="15" x14ac:dyDescent="0.25">
      <c r="A85" s="631">
        <v>762</v>
      </c>
      <c r="B85" s="631" t="s">
        <v>487</v>
      </c>
      <c r="C85" s="631" t="s">
        <v>487</v>
      </c>
      <c r="D85" s="627">
        <v>1076.883331</v>
      </c>
      <c r="E85" s="630" t="s">
        <v>403</v>
      </c>
      <c r="G85" s="526" t="str">
        <f>LEFT('Berechnung Nährstoffe und Lager'!$S$5,3)</f>
        <v>0</v>
      </c>
      <c r="H85" s="526" t="str">
        <f t="shared" si="4"/>
        <v>0</v>
      </c>
      <c r="I85" s="526">
        <f t="shared" si="5"/>
        <v>0</v>
      </c>
      <c r="J85" s="627">
        <f t="shared" si="6"/>
        <v>0</v>
      </c>
      <c r="K85">
        <f t="shared" si="7"/>
        <v>0</v>
      </c>
    </row>
    <row r="86" spans="1:11" ht="15" x14ac:dyDescent="0.25">
      <c r="A86" s="631">
        <v>763</v>
      </c>
      <c r="B86" s="631" t="s">
        <v>488</v>
      </c>
      <c r="C86" s="631" t="s">
        <v>489</v>
      </c>
      <c r="D86" s="627">
        <v>1282.349252</v>
      </c>
      <c r="E86" s="630" t="s">
        <v>403</v>
      </c>
      <c r="G86" s="526" t="str">
        <f>LEFT('Berechnung Nährstoffe und Lager'!$S$5,3)</f>
        <v>0</v>
      </c>
      <c r="H86" s="526" t="str">
        <f t="shared" si="4"/>
        <v>0</v>
      </c>
      <c r="I86" s="526">
        <f t="shared" si="5"/>
        <v>0</v>
      </c>
      <c r="J86" s="627">
        <f t="shared" si="6"/>
        <v>0</v>
      </c>
      <c r="K86">
        <f t="shared" si="7"/>
        <v>0</v>
      </c>
    </row>
    <row r="87" spans="1:11" ht="15" x14ac:dyDescent="0.25">
      <c r="A87" s="631">
        <v>764</v>
      </c>
      <c r="B87" s="631" t="s">
        <v>490</v>
      </c>
      <c r="C87" s="631" t="s">
        <v>490</v>
      </c>
      <c r="D87" s="627">
        <v>959.96285399999999</v>
      </c>
      <c r="E87" s="630" t="s">
        <v>403</v>
      </c>
      <c r="G87" s="526" t="str">
        <f>LEFT('Berechnung Nährstoffe und Lager'!$S$5,3)</f>
        <v>0</v>
      </c>
      <c r="H87" s="526" t="str">
        <f t="shared" si="4"/>
        <v>0</v>
      </c>
      <c r="I87" s="526">
        <f t="shared" si="5"/>
        <v>0</v>
      </c>
      <c r="J87" s="627">
        <f t="shared" si="6"/>
        <v>0</v>
      </c>
      <c r="K87">
        <f t="shared" si="7"/>
        <v>0</v>
      </c>
    </row>
    <row r="88" spans="1:11" ht="15" x14ac:dyDescent="0.25">
      <c r="A88" s="631">
        <v>771</v>
      </c>
      <c r="B88" s="631" t="s">
        <v>491</v>
      </c>
      <c r="C88" s="631" t="s">
        <v>491</v>
      </c>
      <c r="D88" s="627">
        <v>798.95692399999996</v>
      </c>
      <c r="E88" s="630" t="s">
        <v>403</v>
      </c>
      <c r="G88" s="526" t="str">
        <f>LEFT('Berechnung Nährstoffe und Lager'!$S$5,3)</f>
        <v>0</v>
      </c>
      <c r="H88" s="526" t="str">
        <f t="shared" si="4"/>
        <v>0</v>
      </c>
      <c r="I88" s="526">
        <f t="shared" si="5"/>
        <v>0</v>
      </c>
      <c r="J88" s="627">
        <f t="shared" si="6"/>
        <v>0</v>
      </c>
      <c r="K88">
        <f t="shared" si="7"/>
        <v>0</v>
      </c>
    </row>
    <row r="89" spans="1:11" ht="15" x14ac:dyDescent="0.25">
      <c r="A89" s="631">
        <v>772</v>
      </c>
      <c r="B89" s="631" t="s">
        <v>486</v>
      </c>
      <c r="C89" s="631" t="s">
        <v>486</v>
      </c>
      <c r="D89" s="627">
        <v>827.03129000000001</v>
      </c>
      <c r="E89" s="630" t="s">
        <v>403</v>
      </c>
      <c r="G89" s="526" t="str">
        <f>LEFT('Berechnung Nährstoffe und Lager'!$S$5,3)</f>
        <v>0</v>
      </c>
      <c r="H89" s="526" t="str">
        <f t="shared" si="4"/>
        <v>0</v>
      </c>
      <c r="I89" s="526">
        <f t="shared" si="5"/>
        <v>0</v>
      </c>
      <c r="J89" s="627">
        <f t="shared" si="6"/>
        <v>0</v>
      </c>
      <c r="K89">
        <f t="shared" si="7"/>
        <v>0</v>
      </c>
    </row>
    <row r="90" spans="1:11" ht="15" x14ac:dyDescent="0.25">
      <c r="A90" s="631">
        <v>773</v>
      </c>
      <c r="B90" s="631" t="s">
        <v>492</v>
      </c>
      <c r="C90" s="631" t="s">
        <v>492</v>
      </c>
      <c r="D90" s="627">
        <v>695.09747700000003</v>
      </c>
      <c r="E90" s="630" t="s">
        <v>403</v>
      </c>
      <c r="G90" s="526" t="str">
        <f>LEFT('Berechnung Nährstoffe und Lager'!$S$5,3)</f>
        <v>0</v>
      </c>
      <c r="H90" s="526" t="str">
        <f t="shared" si="4"/>
        <v>0</v>
      </c>
      <c r="I90" s="526">
        <f t="shared" si="5"/>
        <v>0</v>
      </c>
      <c r="J90" s="627">
        <f t="shared" si="6"/>
        <v>0</v>
      </c>
      <c r="K90">
        <f t="shared" si="7"/>
        <v>0</v>
      </c>
    </row>
    <row r="91" spans="1:11" ht="15" x14ac:dyDescent="0.25">
      <c r="A91" s="631">
        <v>774</v>
      </c>
      <c r="B91" s="631" t="s">
        <v>493</v>
      </c>
      <c r="C91" s="631" t="s">
        <v>494</v>
      </c>
      <c r="D91" s="627">
        <v>788.90885100000003</v>
      </c>
      <c r="E91" s="630" t="s">
        <v>403</v>
      </c>
      <c r="G91" s="526" t="str">
        <f>LEFT('Berechnung Nährstoffe und Lager'!$S$5,3)</f>
        <v>0</v>
      </c>
      <c r="H91" s="526" t="str">
        <f t="shared" si="4"/>
        <v>0</v>
      </c>
      <c r="I91" s="526">
        <f t="shared" si="5"/>
        <v>0</v>
      </c>
      <c r="J91" s="627">
        <f t="shared" si="6"/>
        <v>0</v>
      </c>
      <c r="K91">
        <f t="shared" si="7"/>
        <v>0</v>
      </c>
    </row>
    <row r="92" spans="1:11" ht="15" x14ac:dyDescent="0.25">
      <c r="A92" s="631">
        <v>775</v>
      </c>
      <c r="B92" s="631" t="s">
        <v>495</v>
      </c>
      <c r="C92" s="631" t="s">
        <v>495</v>
      </c>
      <c r="D92" s="627">
        <v>793.71494299999995</v>
      </c>
      <c r="E92" s="630" t="s">
        <v>403</v>
      </c>
      <c r="G92" s="526" t="str">
        <f>LEFT('Berechnung Nährstoffe und Lager'!$S$5,3)</f>
        <v>0</v>
      </c>
      <c r="H92" s="526" t="str">
        <f t="shared" si="4"/>
        <v>0</v>
      </c>
      <c r="I92" s="526">
        <f t="shared" si="5"/>
        <v>0</v>
      </c>
      <c r="J92" s="627">
        <f t="shared" si="6"/>
        <v>0</v>
      </c>
      <c r="K92">
        <f t="shared" si="7"/>
        <v>0</v>
      </c>
    </row>
    <row r="93" spans="1:11" ht="15" x14ac:dyDescent="0.25">
      <c r="A93" s="631">
        <v>776</v>
      </c>
      <c r="B93" s="631" t="s">
        <v>496</v>
      </c>
      <c r="C93" s="631" t="s">
        <v>496</v>
      </c>
      <c r="D93" s="627">
        <v>1578.262078</v>
      </c>
      <c r="E93" s="630" t="s">
        <v>403</v>
      </c>
      <c r="G93" s="526" t="str">
        <f>LEFT('Berechnung Nährstoffe und Lager'!$S$5,3)</f>
        <v>0</v>
      </c>
      <c r="H93" s="526" t="str">
        <f t="shared" si="4"/>
        <v>0</v>
      </c>
      <c r="I93" s="526">
        <f t="shared" si="5"/>
        <v>0</v>
      </c>
      <c r="J93" s="627">
        <f t="shared" si="6"/>
        <v>0</v>
      </c>
      <c r="K93">
        <f t="shared" si="7"/>
        <v>0</v>
      </c>
    </row>
    <row r="94" spans="1:11" ht="15" x14ac:dyDescent="0.25">
      <c r="A94" s="631">
        <v>777</v>
      </c>
      <c r="B94" s="631" t="s">
        <v>497</v>
      </c>
      <c r="C94" s="631" t="s">
        <v>498</v>
      </c>
      <c r="D94" s="627">
        <v>1253.153779</v>
      </c>
      <c r="E94" s="630" t="s">
        <v>403</v>
      </c>
      <c r="G94" s="526" t="str">
        <f>LEFT('Berechnung Nährstoffe und Lager'!$S$5,3)</f>
        <v>0</v>
      </c>
      <c r="H94" s="526" t="str">
        <f t="shared" si="4"/>
        <v>0</v>
      </c>
      <c r="I94" s="526">
        <f t="shared" si="5"/>
        <v>0</v>
      </c>
      <c r="J94" s="627">
        <f t="shared" si="6"/>
        <v>0</v>
      </c>
      <c r="K94">
        <f t="shared" si="7"/>
        <v>0</v>
      </c>
    </row>
    <row r="95" spans="1:11" ht="15" x14ac:dyDescent="0.25">
      <c r="A95" s="631">
        <v>778</v>
      </c>
      <c r="B95" s="631" t="s">
        <v>499</v>
      </c>
      <c r="C95" s="631" t="s">
        <v>500</v>
      </c>
      <c r="D95" s="627">
        <v>963.22165500000006</v>
      </c>
      <c r="E95" s="630" t="s">
        <v>403</v>
      </c>
      <c r="G95" s="526" t="str">
        <f>LEFT('Berechnung Nährstoffe und Lager'!$S$5,3)</f>
        <v>0</v>
      </c>
      <c r="H95" s="526" t="str">
        <f t="shared" si="4"/>
        <v>0</v>
      </c>
      <c r="I95" s="526">
        <f t="shared" si="5"/>
        <v>0</v>
      </c>
      <c r="J95" s="627">
        <f t="shared" si="6"/>
        <v>0</v>
      </c>
      <c r="K95">
        <f t="shared" si="7"/>
        <v>0</v>
      </c>
    </row>
    <row r="96" spans="1:11" ht="15" x14ac:dyDescent="0.25">
      <c r="A96" s="631">
        <v>779</v>
      </c>
      <c r="B96" s="631" t="s">
        <v>501</v>
      </c>
      <c r="C96" s="631" t="s">
        <v>501</v>
      </c>
      <c r="D96" s="627">
        <v>693.05713200000002</v>
      </c>
      <c r="E96" s="630" t="s">
        <v>403</v>
      </c>
      <c r="G96" s="526" t="str">
        <f>LEFT('Berechnung Nährstoffe und Lager'!$S$5,3)</f>
        <v>0</v>
      </c>
      <c r="H96" s="526" t="str">
        <f t="shared" si="4"/>
        <v>0</v>
      </c>
      <c r="I96" s="526">
        <f t="shared" si="5"/>
        <v>0</v>
      </c>
      <c r="J96" s="627">
        <f t="shared" si="6"/>
        <v>0</v>
      </c>
      <c r="K96">
        <f t="shared" si="7"/>
        <v>0</v>
      </c>
    </row>
    <row r="97" spans="1:12" ht="15" x14ac:dyDescent="0.25">
      <c r="A97" s="631">
        <v>780</v>
      </c>
      <c r="B97" s="631" t="s">
        <v>502</v>
      </c>
      <c r="C97" s="631" t="s">
        <v>503</v>
      </c>
      <c r="D97" s="627">
        <v>1781.1108260000001</v>
      </c>
      <c r="E97" s="630" t="s">
        <v>403</v>
      </c>
      <c r="G97" s="526" t="str">
        <f>LEFT('Berechnung Nährstoffe und Lager'!$S$5,3)</f>
        <v>0</v>
      </c>
      <c r="H97" s="526" t="str">
        <f t="shared" si="4"/>
        <v>0</v>
      </c>
      <c r="I97" s="526">
        <f t="shared" si="5"/>
        <v>0</v>
      </c>
      <c r="J97" s="627">
        <f t="shared" si="6"/>
        <v>0</v>
      </c>
      <c r="K97">
        <f t="shared" si="7"/>
        <v>0</v>
      </c>
    </row>
    <row r="98" spans="1:12" x14ac:dyDescent="0.2">
      <c r="K98">
        <f>SUM(K2:K97)</f>
        <v>0</v>
      </c>
      <c r="L98">
        <f>IF(K98&gt;0,K98,0)</f>
        <v>0</v>
      </c>
    </row>
  </sheetData>
  <conditionalFormatting sqref="D2:D97">
    <cfRule type="cellIs" dxfId="1" priority="1" operator="lessThan">
      <formula>550</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Berechnung Nährstoffe und Lager</vt:lpstr>
      <vt:lpstr>Abweichende Werte</vt:lpstr>
      <vt:lpstr>Tiere</vt:lpstr>
      <vt:lpstr>Tiere orginal</vt:lpstr>
      <vt:lpstr>org Dünger</vt:lpstr>
      <vt:lpstr>Stroh</vt:lpstr>
      <vt:lpstr>Erläuterungen</vt:lpstr>
      <vt:lpstr>Hinweise zum Programm</vt:lpstr>
      <vt:lpstr>Niederschläge</vt:lpstr>
      <vt:lpstr>Pflanzen</vt:lpstr>
      <vt:lpstr>Erläuterung AnrechnungNachgärer</vt:lpstr>
      <vt:lpstr>Ablaufchema</vt:lpstr>
      <vt:lpstr>Basisdaten</vt:lpstr>
      <vt:lpstr>'Berechnung Nährstoffe und Lager'!Druckbereich</vt:lpstr>
    </vt:vector>
  </TitlesOfParts>
  <Company>LfL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LfL Biogasgärrestrechner für 2018, 2019 und 2020</dc:title>
  <dc:creator>msbo</dc:creator>
  <cp:lastModifiedBy>Offenberger, Konrad (LfL)</cp:lastModifiedBy>
  <cp:lastPrinted>2020-06-23T05:24:59Z</cp:lastPrinted>
  <dcterms:created xsi:type="dcterms:W3CDTF">2006-11-22T08:57:22Z</dcterms:created>
  <dcterms:modified xsi:type="dcterms:W3CDTF">2020-07-09T05:50:29Z</dcterms:modified>
</cp:coreProperties>
</file>