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Y:\LfL\OrgEinheiten\IAB\IAB2\a7311_EDV_Prog\90_Sperrfrist\2026\05_internet\"/>
    </mc:Choice>
  </mc:AlternateContent>
  <xr:revisionPtr revIDLastSave="0" documentId="8_{E03599B3-4AE4-4A1E-A639-5E6AA1173A53}" xr6:coauthVersionLast="47" xr6:coauthVersionMax="47" xr10:uidLastSave="{00000000-0000-0000-0000-000000000000}"/>
  <workbookProtection workbookAlgorithmName="SHA-512" workbookHashValue="8jSnEByKbnFten0H9nDDujbENoDi2esMtG32RxIe5liEPm+7y9kudap6bS0I1mesUmvWXcGGncZBeoSEBnZYtw==" workbookSaltValue="VfHyszTTHlno5f/DcFS2uQ==" workbookSpinCount="100000" lockStructure="1"/>
  <bookViews>
    <workbookView xWindow="-120" yWindow="-120" windowWidth="29040" windowHeight="17520" xr2:uid="{3AF20D12-CE6A-400D-AD66-47AD8DD5AAE2}"/>
  </bookViews>
  <sheets>
    <sheet name="Düngung möglich" sheetId="1" r:id="rId1"/>
    <sheet name="Diagramm" sheetId="6" state="hidden" r:id="rId2"/>
    <sheet name="Kommentar" sheetId="5" state="hidden" r:id="rId3"/>
    <sheet name="Berechnung" sheetId="3" state="hidden" r:id="rId4"/>
    <sheet name="Tabelle1" sheetId="4" state="hidden" r:id="rId5"/>
    <sheet name="Rohdaten" sheetId="2" state="hidden" r:id="rId6"/>
  </sheets>
  <definedNames>
    <definedName name="_xlnm.Print_Area" localSheetId="1">Diagramm!#REF!</definedName>
    <definedName name="_xlnm.Print_Area" localSheetId="0">'Düngung möglich'!$A$1:$F$18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 i="1" l="1"/>
  <c r="D19" i="1"/>
  <c r="D14" i="1" s="1"/>
  <c r="B14" i="1" l="1"/>
  <c r="A2" i="1"/>
  <c r="A47" i="2" l="1"/>
  <c r="C25" i="3"/>
  <c r="B45" i="3" l="1"/>
  <c r="C22" i="3"/>
  <c r="H9" i="1" l="1"/>
  <c r="H10" i="1" s="1"/>
  <c r="AC16" i="3"/>
  <c r="B44" i="3"/>
  <c r="B43" i="3"/>
  <c r="B42" i="3"/>
  <c r="B41" i="3"/>
  <c r="B40" i="3"/>
  <c r="B39" i="3"/>
  <c r="B38" i="3"/>
  <c r="B37" i="3"/>
  <c r="C28" i="3"/>
  <c r="D27" i="3"/>
  <c r="C27" i="3"/>
  <c r="D26" i="3"/>
  <c r="D28" i="3" s="1"/>
  <c r="C26" i="3"/>
  <c r="D25" i="3"/>
  <c r="K14" i="1"/>
  <c r="F15" i="1" s="1"/>
  <c r="K13" i="1"/>
  <c r="K12" i="1"/>
  <c r="K11" i="1"/>
  <c r="K10" i="1"/>
  <c r="K9" i="1"/>
  <c r="K8" i="1"/>
  <c r="J8" i="1" s="1"/>
  <c r="J7" i="1"/>
  <c r="B19" i="1" s="1"/>
  <c r="K6" i="1"/>
  <c r="C7" i="1"/>
  <c r="E7" i="1"/>
  <c r="A7" i="1"/>
  <c r="J14" i="1" l="1"/>
  <c r="J13" i="1" l="1"/>
  <c r="I7" i="3" l="1"/>
  <c r="E10" i="3"/>
  <c r="E9" i="3"/>
  <c r="E7" i="3"/>
  <c r="B11" i="3"/>
  <c r="B7" i="3"/>
  <c r="G4" i="3"/>
  <c r="D4" i="3"/>
  <c r="D35" i="3" l="1"/>
  <c r="I9" i="3"/>
  <c r="A9" i="1" l="1"/>
  <c r="J12" i="1" l="1"/>
  <c r="J11" i="1" l="1"/>
  <c r="F19" i="1" l="1"/>
  <c r="F14" i="1" s="1"/>
  <c r="B28" i="1"/>
  <c r="B27" i="1"/>
  <c r="B25" i="1"/>
  <c r="AC17" i="3"/>
  <c r="AC18" i="3" l="1"/>
  <c r="D30" i="3"/>
  <c r="D29" i="3"/>
  <c r="H4" i="3" a="1"/>
  <c r="H4" i="3" s="1"/>
  <c r="F4" i="3"/>
  <c r="D12" i="3"/>
  <c r="E11" i="3"/>
  <c r="F11" i="3" s="1"/>
  <c r="F10" i="3" a="1"/>
  <c r="F10" i="3" s="1"/>
  <c r="E8" i="3"/>
  <c r="B8" i="3"/>
  <c r="Z17" i="3" l="1"/>
  <c r="A30" i="1"/>
  <c r="B30" i="1"/>
  <c r="E12" i="3"/>
  <c r="F9" i="3" a="1"/>
  <c r="F9" i="3" s="1"/>
  <c r="E4" i="3" a="1"/>
  <c r="E4" i="3" s="1"/>
  <c r="D16" i="3"/>
  <c r="G16" i="3" s="1"/>
  <c r="C7" i="3" a="1"/>
  <c r="C7" i="3" s="1"/>
  <c r="C16" i="3" s="1"/>
  <c r="F7" i="3" a="1"/>
  <c r="F7" i="3" s="1"/>
  <c r="F8" i="3"/>
  <c r="G19" i="1"/>
  <c r="J7" i="3" a="1"/>
  <c r="J7" i="3" s="1"/>
  <c r="AB16" i="3" s="1"/>
  <c r="I4" i="3"/>
  <c r="C29" i="3" l="1"/>
  <c r="AD17" i="3"/>
  <c r="G31" i="3"/>
  <c r="G35" i="3" s="1"/>
  <c r="J16" i="3"/>
  <c r="F12" i="3"/>
  <c r="C30" i="3"/>
  <c r="B24" i="1"/>
  <c r="J6" i="1"/>
  <c r="D35" i="1" l="1"/>
  <c r="D16" i="6" s="1"/>
  <c r="B29" i="1"/>
  <c r="J10" i="1" l="1"/>
  <c r="J9" i="1"/>
  <c r="K7" i="1" l="1"/>
  <c r="B15" i="1" l="1"/>
  <c r="G23" i="1" s="1"/>
  <c r="E23" i="1" s="1"/>
  <c r="D23" i="1" s="1"/>
  <c r="C23" i="1" s="1"/>
  <c r="C3" i="6" s="1"/>
  <c r="B16" i="3"/>
  <c r="B23" i="1" l="1"/>
  <c r="D3" i="6"/>
  <c r="E3" i="6"/>
  <c r="B17" i="3"/>
  <c r="E16" i="3"/>
  <c r="B3" i="6" l="1"/>
  <c r="E24" i="1"/>
  <c r="E4" i="6" s="1"/>
  <c r="B4" i="6" s="1"/>
  <c r="B18" i="3"/>
  <c r="H16" i="3" l="1"/>
  <c r="K16" i="3"/>
  <c r="E25" i="1" l="1"/>
  <c r="E5" i="6" s="1"/>
  <c r="E13" i="3"/>
  <c r="F13" i="3" s="1"/>
  <c r="I17" i="3"/>
  <c r="B9" i="3"/>
  <c r="B12" i="3" s="1"/>
  <c r="E26" i="1"/>
  <c r="E6" i="6" s="1"/>
  <c r="I18" i="3" l="1"/>
  <c r="I16" i="3"/>
  <c r="B10" i="3"/>
  <c r="B26" i="1" l="1"/>
  <c r="B6" i="6" s="1"/>
  <c r="B31" i="1"/>
  <c r="B36" i="1"/>
  <c r="I8" i="3"/>
  <c r="C31" i="3" s="1"/>
  <c r="C33" i="3" s="1"/>
  <c r="D18" i="3" s="1"/>
  <c r="M16" i="3"/>
  <c r="N16" i="3" s="1"/>
  <c r="E27" i="1" s="1"/>
  <c r="E7" i="6" s="1"/>
  <c r="B7" i="6" s="1"/>
  <c r="AB18" i="3" l="1"/>
  <c r="B40" i="1" s="1"/>
  <c r="C32" i="3"/>
  <c r="AB17" i="3"/>
  <c r="B35" i="1" s="1"/>
  <c r="B16" i="6" s="1"/>
  <c r="D32" i="3"/>
  <c r="R16" i="3"/>
  <c r="AD16" i="3" s="1"/>
  <c r="E29" i="1" s="1"/>
  <c r="E9" i="6" s="1"/>
  <c r="B9" i="6" s="1"/>
  <c r="J18" i="3"/>
  <c r="K18" i="3" s="1"/>
  <c r="C36" i="1" s="1"/>
  <c r="C17" i="6" s="1"/>
  <c r="B17" i="6" s="1"/>
  <c r="E18" i="3"/>
  <c r="C30" i="1" s="1"/>
  <c r="C10" i="6" s="1"/>
  <c r="B10" i="6" s="1"/>
  <c r="C35" i="3"/>
  <c r="Z18" i="3" s="1"/>
  <c r="L18" i="3"/>
  <c r="B37" i="1" s="1"/>
  <c r="L17" i="3"/>
  <c r="B32" i="1" s="1"/>
  <c r="D31" i="3"/>
  <c r="D33" i="3" s="1"/>
  <c r="D17" i="3" s="1"/>
  <c r="M18" i="3" l="1"/>
  <c r="U18" i="3" s="1"/>
  <c r="AA18" i="3" s="1"/>
  <c r="C39" i="1" s="1"/>
  <c r="C20" i="6" s="1"/>
  <c r="S16" i="3"/>
  <c r="E28" i="1" s="1"/>
  <c r="E8" i="6" s="1"/>
  <c r="AD18" i="3"/>
  <c r="C40" i="1" s="1"/>
  <c r="C21" i="6" s="1"/>
  <c r="B21" i="6" s="1"/>
  <c r="F31" i="3"/>
  <c r="F35" i="3" s="1"/>
  <c r="J17" i="3"/>
  <c r="K17" i="3" s="1"/>
  <c r="E17" i="3"/>
  <c r="D30" i="1" s="1"/>
  <c r="D11" i="6" s="1"/>
  <c r="B11" i="6" s="1"/>
  <c r="N18" i="3" l="1"/>
  <c r="V18" i="3"/>
  <c r="T18" i="3" s="1"/>
  <c r="B38" i="1" s="1"/>
  <c r="W18" i="3"/>
  <c r="D31" i="1"/>
  <c r="D12" i="6" s="1"/>
  <c r="B12" i="6" s="1"/>
  <c r="M17" i="3"/>
  <c r="F30" i="3"/>
  <c r="F33" i="3" s="1"/>
  <c r="Y18" i="3" s="1"/>
  <c r="B39" i="1" s="1"/>
  <c r="B20" i="6" s="1"/>
  <c r="O18" i="3" l="1"/>
  <c r="P18" i="3" s="1"/>
  <c r="C37" i="1" s="1"/>
  <c r="C18" i="6" s="1"/>
  <c r="B18" i="6" s="1"/>
  <c r="N17" i="3"/>
  <c r="U17" i="3"/>
  <c r="X18" i="3" l="1"/>
  <c r="C38" i="1" s="1"/>
  <c r="C19" i="6" s="1"/>
  <c r="B19" i="6" s="1"/>
  <c r="V17" i="3"/>
  <c r="AA17" i="3"/>
  <c r="W17" i="3"/>
  <c r="G30" i="3" l="1"/>
  <c r="G33" i="3" s="1"/>
  <c r="Y17" i="3" s="1"/>
  <c r="B34" i="1" s="1"/>
  <c r="D34" i="1"/>
  <c r="D15" i="6" s="1"/>
  <c r="O17" i="3"/>
  <c r="P17" i="3" s="1"/>
  <c r="D32" i="1" s="1"/>
  <c r="D13" i="6" s="1"/>
  <c r="B13" i="6" s="1"/>
  <c r="T17" i="3"/>
  <c r="B33" i="1" s="1"/>
  <c r="B15" i="6" l="1"/>
  <c r="X17" i="3"/>
  <c r="D33" i="1" s="1"/>
  <c r="D14" i="6" s="1"/>
  <c r="B1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Gertaud</author>
    <author>Offenberger, Konrad (LfL)</author>
    <author>Schmücker, Rebekka (LfL)</author>
    <author>Deimel, R. (LfL)</author>
  </authors>
  <commentList>
    <comment ref="A9" authorId="0" shapeId="0" xr:uid="{E68E0559-C459-4FDE-BE03-7BC0918C3297}">
      <text>
        <r>
          <rPr>
            <sz val="9"/>
            <color indexed="81"/>
            <rFont val="Segoe UI"/>
            <family val="2"/>
          </rPr>
          <t>Bei mehrjährigem Feldfutterbau oder Grünland letzter Schnitt im Kalenderjahr.</t>
        </r>
      </text>
    </comment>
    <comment ref="C9" authorId="1" shapeId="0" xr:uid="{EC089F89-7DA6-41E6-8A91-FDEB9F61E63C}">
      <text>
        <r>
          <rPr>
            <sz val="9"/>
            <color indexed="81"/>
            <rFont val="Segoe UI"/>
            <family val="2"/>
          </rPr>
          <t xml:space="preserve">Bei </t>
        </r>
        <r>
          <rPr>
            <b/>
            <sz val="9"/>
            <color indexed="81"/>
            <rFont val="Segoe UI"/>
            <family val="2"/>
          </rPr>
          <t>mehrjährigem Feldfutterbau 2026 mit Nutzung im Frühjahr 2027</t>
        </r>
        <r>
          <rPr>
            <sz val="9"/>
            <color indexed="81"/>
            <rFont val="Segoe UI"/>
            <family val="2"/>
          </rPr>
          <t xml:space="preserve"> und nachfolgendem Umbruch dann, Saatdatum = Datum letzter Schnitt im Jahr 2026</t>
        </r>
      </text>
    </comment>
    <comment ref="E9" authorId="1" shapeId="0" xr:uid="{422CD6E4-E657-49D1-9055-8473D676EC3F}">
      <text>
        <r>
          <rPr>
            <sz val="9"/>
            <color indexed="81"/>
            <rFont val="Segoe UI"/>
            <family val="2"/>
          </rPr>
          <t xml:space="preserve">Angabe Saatdatum aus technischen Gründen notwendig, wenn vor 15.03.2027 gesät </t>
        </r>
        <r>
          <rPr>
            <b/>
            <sz val="9"/>
            <color indexed="81"/>
            <rFont val="Segoe UI"/>
            <family val="2"/>
          </rPr>
          <t>oder</t>
        </r>
        <r>
          <rPr>
            <sz val="9"/>
            <color indexed="81"/>
            <rFont val="Segoe UI"/>
            <family val="2"/>
          </rPr>
          <t xml:space="preserve"> mehrj. Feldfutterbau umgebrochen und neu angesät wird.</t>
        </r>
      </text>
    </comment>
    <comment ref="E10" authorId="2" shapeId="0" xr:uid="{E73C2D36-85EC-44C1-A993-5B985CBE1CC2}">
      <text>
        <r>
          <rPr>
            <sz val="9"/>
            <color indexed="81"/>
            <rFont val="Segoe UI"/>
            <family val="2"/>
          </rPr>
          <t>Erntedatum bei Ernte des mehrj. Feldfutterbaus im Herbst des Ansaatjahres wird nur benötigt, wenn das Saatdatum (F9) im Herbst 2026 ist.</t>
        </r>
      </text>
    </comment>
    <comment ref="C12" authorId="2" shapeId="0" xr:uid="{C2B444DB-4FEE-41F0-B963-A0EF133BE001}">
      <text>
        <r>
          <rPr>
            <sz val="9"/>
            <color indexed="81"/>
            <rFont val="Segoe UI"/>
            <family val="2"/>
          </rPr>
          <t>Wenn Zwischen-/Zweitfrucht angegeben, ist grundsätzlich ein Umbruchsdatum notwendig. Bei Direktsaat der Hauptfrucht ist das Saatdatum auch das Umbruchsdatum.</t>
        </r>
      </text>
    </comment>
    <comment ref="J22" authorId="3" shapeId="0" xr:uid="{2D27E73F-D4C8-4B99-BE7C-C2D68850C4D7}">
      <text>
        <r>
          <rPr>
            <b/>
            <sz val="9"/>
            <color indexed="81"/>
            <rFont val="Segoe UI"/>
            <family val="2"/>
          </rPr>
          <t>Deimel, R. (LfL):</t>
        </r>
        <r>
          <rPr>
            <sz val="9"/>
            <color indexed="81"/>
            <rFont val="Segoe UI"/>
            <family val="2"/>
          </rPr>
          <t xml:space="preserve">
keine roten u gelben Flächen mehr, daher immer 2 (keine Auflagen)</t>
        </r>
      </text>
    </comment>
    <comment ref="I24" authorId="3" shapeId="0" xr:uid="{BC2488E7-D4BC-47A6-8BD1-83E56A4BCB61}">
      <text>
        <r>
          <rPr>
            <b/>
            <sz val="9"/>
            <color indexed="81"/>
            <rFont val="Segoe UI"/>
            <family val="2"/>
          </rPr>
          <t>ehemals Stoppelbrache, ohne rote Gebiete keine Relevanz. Bleibt bei 2, damit keine Fehlermeldung kommt</t>
        </r>
      </text>
    </comment>
    <comment ref="J25" authorId="3" shapeId="0" xr:uid="{3057A0BF-9FBA-4C27-A597-785B5DA52849}">
      <text>
        <r>
          <rPr>
            <b/>
            <sz val="9"/>
            <color indexed="81"/>
            <rFont val="Segoe UI"/>
            <family val="2"/>
          </rPr>
          <t>Deimel, R. (LfL):</t>
        </r>
        <r>
          <rPr>
            <sz val="9"/>
            <color indexed="81"/>
            <rFont val="Segoe UI"/>
            <family val="2"/>
          </rPr>
          <t xml:space="preserve">
ehemals Ernte für , aber hat keine Relevanz für nicht rote Gebiete, daher bleibt bei 2, (Tierfutter), damit keine Fehlermeldung kommt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Offenberger, Konrad (LfL)</author>
    <author>Gertaud</author>
  </authors>
  <commentList>
    <comment ref="D6" authorId="0" shapeId="0" xr:uid="{E0746E7F-1DA5-4690-91FA-9A96CF4A9385}">
      <text>
        <r>
          <rPr>
            <b/>
            <sz val="9"/>
            <color indexed="81"/>
            <rFont val="Segoe UI"/>
            <family val="2"/>
          </rPr>
          <t>Standzeit Zwischenfrucht bis mindestens zur Sperrfirst</t>
        </r>
      </text>
    </comment>
    <comment ref="A8" authorId="1" shapeId="0" xr:uid="{27C1CD4E-3A8C-4F1A-A061-8F950AA280D0}">
      <text>
        <r>
          <rPr>
            <b/>
            <sz val="9"/>
            <color indexed="81"/>
            <rFont val="Segoe UI"/>
            <family val="2"/>
          </rPr>
          <t>Bei Feldfutterbau letzter Schnitt</t>
        </r>
      </text>
    </comment>
    <comment ref="I8" authorId="1" shapeId="0" xr:uid="{6B420C81-A761-4557-8EAD-77806020D2D5}">
      <text>
        <r>
          <rPr>
            <b/>
            <sz val="9"/>
            <color indexed="81"/>
            <rFont val="Segoe UI"/>
            <family val="2"/>
          </rPr>
          <t>Bei mehrjährigem Feldfutterbau:
- Im Folgejahr immer 01.01.22 angeben
- Im Ansaatjahr
       - wenn im Frühjahr immer tatächliches Saatdatum angeben
       - wenn im Herbst dann immer 01.01.22 angeben und die Saat bei Zwischen/Zweitfrüchte eingeben</t>
        </r>
      </text>
    </comment>
    <comment ref="D11" authorId="1" shapeId="0" xr:uid="{30D7E56B-7917-4D43-B210-117EC776029A}">
      <text>
        <r>
          <rPr>
            <b/>
            <sz val="9"/>
            <color indexed="81"/>
            <rFont val="Segoe UI"/>
            <family val="2"/>
          </rPr>
          <t xml:space="preserve">letzter Schnitt
</t>
        </r>
      </text>
    </comment>
    <comment ref="D12" authorId="1" shapeId="0" xr:uid="{9A4BD5C9-FEFB-4BD4-90A0-8C6DD50739BD}">
      <text>
        <r>
          <rPr>
            <b/>
            <sz val="9"/>
            <color indexed="81"/>
            <rFont val="Segoe UI"/>
            <family val="2"/>
          </rPr>
          <t xml:space="preserve">letzter Schnitt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<sst xmlns="http://schemas.openxmlformats.org/spreadsheetml/2006/main" count="203" uniqueCount="124">
  <si>
    <t>Brache</t>
  </si>
  <si>
    <t xml:space="preserve">Nitratgefährdete Fläche: </t>
  </si>
  <si>
    <t>Saatdatum</t>
  </si>
  <si>
    <t xml:space="preserve"> --</t>
  </si>
  <si>
    <t>nein</t>
  </si>
  <si>
    <t xml:space="preserve">Angaben zum Schlag: </t>
  </si>
  <si>
    <t>keine</t>
  </si>
  <si>
    <t>W-Raps</t>
  </si>
  <si>
    <t>Frucht</t>
  </si>
  <si>
    <t>Sonstige Ackerkulturen (Mais, Rüben, …)</t>
  </si>
  <si>
    <t>Grafik</t>
  </si>
  <si>
    <t>Sperrfrist von</t>
  </si>
  <si>
    <t>bis</t>
  </si>
  <si>
    <t>nein (Standzeit mind. 6 Wochen)</t>
  </si>
  <si>
    <t>ja Herbst</t>
  </si>
  <si>
    <t>ja Frühjahr</t>
  </si>
  <si>
    <t>ja Herbst und Frühjahr</t>
  </si>
  <si>
    <t>Sperrfrist</t>
  </si>
  <si>
    <t>Stallmist</t>
  </si>
  <si>
    <t>Gülle</t>
  </si>
  <si>
    <t>Sonstiges W-Getreide (WW,…)</t>
  </si>
  <si>
    <t>Art</t>
  </si>
  <si>
    <t>Erntedatum</t>
  </si>
  <si>
    <t>Sommerungen Leguminosen</t>
  </si>
  <si>
    <t xml:space="preserve">Ernte </t>
  </si>
  <si>
    <t xml:space="preserve">wenn Ernte ja für </t>
  </si>
  <si>
    <t>Tierfutter</t>
  </si>
  <si>
    <t>Ernte Herbst Datum</t>
  </si>
  <si>
    <t>Angaben vollständig</t>
  </si>
  <si>
    <t>HF</t>
  </si>
  <si>
    <t>grün</t>
  </si>
  <si>
    <t>rot</t>
  </si>
  <si>
    <t>Nichtleguminosen winterhart</t>
  </si>
  <si>
    <t>Nichtleguminosen abfrierend</t>
  </si>
  <si>
    <t>Leguminosen winterhart</t>
  </si>
  <si>
    <t>Leguminosen abfrierend</t>
  </si>
  <si>
    <t>Umbruch</t>
  </si>
  <si>
    <t>Umbruchsdatum</t>
  </si>
  <si>
    <t>Sommerungen Nichtleguminosen</t>
  </si>
  <si>
    <t>Startdatum:</t>
  </si>
  <si>
    <t>Acker</t>
  </si>
  <si>
    <t>Feldfutter</t>
  </si>
  <si>
    <t>keine Verschiebung</t>
  </si>
  <si>
    <t>2 Wochen Verschiebung</t>
  </si>
  <si>
    <t>4 Wochen Verschiebung</t>
  </si>
  <si>
    <t>Feldfutter Verschiedung</t>
  </si>
  <si>
    <t>VF</t>
  </si>
  <si>
    <t>Start</t>
  </si>
  <si>
    <t>Text</t>
  </si>
  <si>
    <t>Ende</t>
  </si>
  <si>
    <t>Zweitfrucht</t>
  </si>
  <si>
    <t>Tage</t>
  </si>
  <si>
    <t>Zwischenfrucht</t>
  </si>
  <si>
    <t>Saat Zweitfrucht</t>
  </si>
  <si>
    <t>Zweitfru.</t>
  </si>
  <si>
    <t>Zwichenfr.</t>
  </si>
  <si>
    <t>Korr</t>
  </si>
  <si>
    <t>korr</t>
  </si>
  <si>
    <t>Saat Winterungen</t>
  </si>
  <si>
    <t>Saat Sommerungen</t>
  </si>
  <si>
    <t>Ernte Zweitfrucht</t>
  </si>
  <si>
    <t>Letzte Ernte</t>
  </si>
  <si>
    <t>Sperrfrist SM rot</t>
  </si>
  <si>
    <t>Ende Zwif.</t>
  </si>
  <si>
    <t>Sperrfrist FF+GL</t>
  </si>
  <si>
    <t>Stoppelbrache</t>
  </si>
  <si>
    <t>ja - Gelbe Fläche</t>
  </si>
  <si>
    <t>ja - Rote und Gelbe Fläche</t>
  </si>
  <si>
    <t xml:space="preserve">WENN(UND(B7=3;I7=5);"DBE-HF";    </t>
  </si>
  <si>
    <t>wenn</t>
  </si>
  <si>
    <t>Feldfutterbau</t>
  </si>
  <si>
    <t>Wintergetreide</t>
  </si>
  <si>
    <t xml:space="preserve">WENN(UND(I7&gt;=1;I7&lt;5);"DBE-HF";                        </t>
  </si>
  <si>
    <t xml:space="preserve"> WENN(UND(B10&lt;=B37;D4=3);WENN(ODER(E7=2;E12&lt;B38);"keine N-Düngung";WENN(ODER(E7=3;E7=5);WENN(I7=6;"DBE-HF (nicht Feb.)";"DBE-HF");"keine Düngung"));                                  WENN(UND(B10&lt;=B37;D4=4;B11=2);WENN(ODER(E7=2;E12&lt;B38);"keine P-Düngung";WENN(ODER(E7=3;E7=5);WENN(I7=6;"DBE-HF (nicht Feb.)";"DBE-HF");"keine P-Düngung"));         WENN(UND(B10&lt;=B37;D4=5;B11=2);WENN(ODER(E7=2;E12&lt;B38);"keine NP-Düngung";WENN(ODER(E7=3;E7=5);WENN(I7=6;"DBE-HF (nicht Feb.)";"DBE-HF");"keine NP-Düngung"));              WENN(UND(B10&lt;=B37;D4=5;B11=3);WENN(ODER(E7=2;E12&lt;B38);"keine N-Düngung";WENN(ODER(E7=3;E7=5);WENN(I7=6;"DBE-HF (nicht Feb.)";"DBE-HF");"keine NP-Düngung"));                      WENN(I7=6;"DBE-HF (nicht Feb.)";"DBE-HF")))))))</t>
  </si>
  <si>
    <t xml:space="preserve">Ernte vor 1.10.; </t>
  </si>
  <si>
    <t>keine Zwf. oder vor 15.1</t>
  </si>
  <si>
    <t>Ernte Zwf Frühj.</t>
  </si>
  <si>
    <t>Düng Feb vor Mais</t>
  </si>
  <si>
    <t>Ernte Hauptfrucht 21</t>
  </si>
  <si>
    <t>Erntedatum Herbst</t>
  </si>
  <si>
    <t>Ernte Herbst</t>
  </si>
  <si>
    <t>Ende Zwi/Zweit/FFB</t>
  </si>
  <si>
    <t xml:space="preserve">     --&gt; Blattgrün Ende = bei Zwischenfrucht der Umbruch, bei HF bzw. Zweitfrucht Erntedatum</t>
  </si>
  <si>
    <t xml:space="preserve">     --&gt; Zwischenfrucht muss 6 Wochen stehen</t>
  </si>
  <si>
    <t xml:space="preserve"> - Stallmist darf im Herbst immer auf Blattgrün gefahren werden oder wenn noch im Herbst Blattgrün angesät wird wenn Düngebedarf der Zweitfrucht oder Zwischenfrucht mit DB HF</t>
  </si>
  <si>
    <t>Wann darf ich im Frühjahr Düngungen rot/gelb?</t>
  </si>
  <si>
    <t>Wann darf ich Stallmist fahren?</t>
  </si>
  <si>
    <t xml:space="preserve"> - Niederschlag &lt; 550 mm</t>
  </si>
  <si>
    <t xml:space="preserve"> - Zwischenfrucht (egal ob Stoppel oder abgefroren) bis 15.01. steht</t>
  </si>
  <si>
    <t xml:space="preserve"> -  Getreidestoppeln bis 15.01. stehen (nur gelb)</t>
  </si>
  <si>
    <t xml:space="preserve"> - winterhart und mehrschnittige Füchte auch wenn nur Stoppeln (auch Zweitfrüchte und HF) bis 15.01. noch stehen</t>
  </si>
  <si>
    <t xml:space="preserve"> - Ernte HF oder Zweitfrucht nach 1.10. </t>
  </si>
  <si>
    <t xml:space="preserve"> - Saat der HF im Herbst (vor 1.2.) </t>
  </si>
  <si>
    <t xml:space="preserve">B </t>
  </si>
  <si>
    <t>D</t>
  </si>
  <si>
    <t>F</t>
  </si>
  <si>
    <t>Bezüge Dropdown</t>
  </si>
  <si>
    <t>Zeile</t>
  </si>
  <si>
    <t xml:space="preserve">Text </t>
  </si>
  <si>
    <t>Datum</t>
  </si>
  <si>
    <t xml:space="preserve">von </t>
  </si>
  <si>
    <t>Umbruch max. bis</t>
  </si>
  <si>
    <t>für Balkenbeschriftung Sperrfrist</t>
  </si>
  <si>
    <t>Saat HF 22 Min.</t>
  </si>
  <si>
    <t>Saat Hauptfrucht Herbst bis 01.12.</t>
  </si>
  <si>
    <t>Zweitfrucht mit Ernte im Frühjahr muss mind. Bis 15.03. stehen</t>
  </si>
  <si>
    <t xml:space="preserve"> - winterharte Zweitfrüchte die bis 15.01. stehen</t>
  </si>
  <si>
    <t>DBE VF</t>
  </si>
  <si>
    <t>Getreide (Drusch)</t>
  </si>
  <si>
    <t>W-Gerste (Drusch)</t>
  </si>
  <si>
    <t>Jahr</t>
  </si>
  <si>
    <t>Hauptfrucht Ernte Vorjarh</t>
  </si>
  <si>
    <t>Zwischen/Zweitfrucht</t>
  </si>
  <si>
    <t>Hauptfrucht Ernte</t>
  </si>
  <si>
    <t>Ende Sperrfrist Gülle</t>
  </si>
  <si>
    <t>Mehrj. Feldfutterbau/GL</t>
  </si>
  <si>
    <t>Saat WR/Zwf/FFB</t>
  </si>
  <si>
    <t>Ernte bis/Saat WG</t>
  </si>
  <si>
    <t>sonstige Nutzung (z.B. Biogas)</t>
  </si>
  <si>
    <t>ja - Rote Fläche</t>
  </si>
  <si>
    <r>
      <t xml:space="preserve">Bei org. Düngung im Herbst darf entweder Stallmist </t>
    </r>
    <r>
      <rPr>
        <u/>
        <sz val="11"/>
        <color theme="1"/>
        <rFont val="Arial"/>
        <family val="2"/>
      </rPr>
      <t>ODER</t>
    </r>
    <r>
      <rPr>
        <sz val="11"/>
        <color theme="1"/>
        <rFont val="Arial"/>
        <family val="2"/>
      </rPr>
      <t xml:space="preserve"> Gülle ausgebracht werden (nicht beides).</t>
    </r>
  </si>
  <si>
    <r>
      <t>Sommerung Mais</t>
    </r>
    <r>
      <rPr>
        <sz val="11"/>
        <color theme="4"/>
        <rFont val="Calibri"/>
        <family val="2"/>
        <scheme val="minor"/>
      </rPr>
      <t>/Hirse</t>
    </r>
  </si>
  <si>
    <t>Angaben prüfen (1=ja, 2=nein)</t>
  </si>
  <si>
    <t>© Bayerische Landesanstalt für Landwirtschaft (Of, De, Sp) Stand: 26.05.2026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</si>
</sst>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Arial"/>
      <family val="2"/>
    </font>
    <font>
      <b/>
      <sz val="11"/>
      <color theme="1"/>
      <name val="Arial"/>
      <family val="2"/>
    </font>
    <font>
      <b/>
      <sz val="9"/>
      <color indexed="81"/>
      <name val="Segoe UI"/>
      <family val="2"/>
    </font>
    <font>
      <b/>
      <sz val="12"/>
      <color rgb="FFFF0000"/>
      <name val="Arial"/>
      <family val="2"/>
    </font>
    <font>
      <b/>
      <sz val="11"/>
      <color rgb="FFFF0000"/>
      <name val="Arial"/>
      <family val="2"/>
    </font>
    <font>
      <sz val="11"/>
      <color theme="0"/>
      <name val="Arial"/>
      <family val="2"/>
    </font>
    <font>
      <sz val="9"/>
      <color indexed="81"/>
      <name val="Segoe UI"/>
      <family val="2"/>
    </font>
    <font>
      <sz val="11"/>
      <name val="Arial"/>
      <family val="2"/>
    </font>
    <font>
      <sz val="11"/>
      <color theme="0" tint="-4.9989318521683403E-2"/>
      <name val="Arial"/>
      <family val="2"/>
    </font>
    <font>
      <u/>
      <sz val="11"/>
      <color theme="1"/>
      <name val="Arial"/>
      <family val="2"/>
    </font>
    <font>
      <sz val="11"/>
      <color theme="4"/>
      <name val="Calibri"/>
      <family val="2"/>
      <scheme val="minor"/>
    </font>
    <font>
      <b/>
      <sz val="16"/>
      <color theme="1"/>
      <name val="Arial"/>
      <family val="2"/>
    </font>
  </fonts>
  <fills count="11">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lightDown"/>
    </fill>
    <fill>
      <patternFill patternType="solid">
        <fgColor theme="0" tint="-0.14999847407452621"/>
        <bgColor indexed="64"/>
      </patternFill>
    </fill>
    <fill>
      <patternFill patternType="solid">
        <fgColor rgb="FFF8F896"/>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000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89">
    <xf numFmtId="0" fontId="0" fillId="0" borderId="0" xfId="0"/>
    <xf numFmtId="0" fontId="1" fillId="0" borderId="0" xfId="0" applyFont="1"/>
    <xf numFmtId="0" fontId="2" fillId="0" borderId="0" xfId="0" applyFont="1"/>
    <xf numFmtId="0" fontId="1" fillId="0" borderId="0" xfId="0" applyFont="1" applyAlignment="1">
      <alignment horizontal="left" vertical="center"/>
    </xf>
    <xf numFmtId="14" fontId="1" fillId="0" borderId="0" xfId="0" applyNumberFormat="1" applyFont="1" applyAlignment="1">
      <alignment horizontal="left" vertical="center"/>
    </xf>
    <xf numFmtId="14" fontId="1" fillId="0" borderId="0" xfId="0" applyNumberFormat="1" applyFont="1"/>
    <xf numFmtId="14" fontId="1" fillId="3" borderId="0" xfId="0" applyNumberFormat="1" applyFont="1" applyFill="1" applyAlignment="1">
      <alignment horizontal="left" vertical="center"/>
    </xf>
    <xf numFmtId="0" fontId="1" fillId="0" borderId="0" xfId="0" applyFont="1" applyAlignment="1">
      <alignment horizontal="right" vertical="center"/>
    </xf>
    <xf numFmtId="0" fontId="2" fillId="0" borderId="0" xfId="0" applyFont="1" applyAlignment="1">
      <alignment vertical="center"/>
    </xf>
    <xf numFmtId="0" fontId="1" fillId="0" borderId="0" xfId="0" applyFont="1" applyAlignment="1">
      <alignment vertical="center"/>
    </xf>
    <xf numFmtId="14" fontId="0" fillId="0" borderId="0" xfId="0" applyNumberFormat="1"/>
    <xf numFmtId="0" fontId="0" fillId="0" borderId="1" xfId="0" applyBorder="1"/>
    <xf numFmtId="0" fontId="0" fillId="0" borderId="2" xfId="0" applyBorder="1"/>
    <xf numFmtId="0" fontId="0" fillId="0" borderId="3" xfId="0" applyBorder="1"/>
    <xf numFmtId="0" fontId="0" fillId="0" borderId="0" xfId="0" applyNumberFormat="1"/>
    <xf numFmtId="0" fontId="0" fillId="0" borderId="2" xfId="0" applyFill="1" applyBorder="1"/>
    <xf numFmtId="0" fontId="0" fillId="0" borderId="3" xfId="0" applyFill="1" applyBorder="1"/>
    <xf numFmtId="0" fontId="0" fillId="4" borderId="0" xfId="0" applyFill="1"/>
    <xf numFmtId="14" fontId="1" fillId="4" borderId="0" xfId="0" applyNumberFormat="1" applyFont="1" applyFill="1"/>
    <xf numFmtId="0" fontId="0" fillId="2" borderId="0" xfId="0" applyNumberFormat="1" applyFill="1"/>
    <xf numFmtId="0" fontId="1" fillId="0" borderId="0" xfId="0" applyFont="1" applyProtection="1">
      <protection locked="0"/>
    </xf>
    <xf numFmtId="0" fontId="1" fillId="0" borderId="0" xfId="0" applyFont="1" applyAlignment="1" applyProtection="1">
      <alignment horizontal="left" vertical="center"/>
      <protection locked="0"/>
    </xf>
    <xf numFmtId="0" fontId="1" fillId="0" borderId="0" xfId="0" applyNumberFormat="1" applyFont="1" applyAlignment="1" applyProtection="1">
      <alignment horizontal="left" vertical="center"/>
      <protection locked="0"/>
    </xf>
    <xf numFmtId="14" fontId="1" fillId="0" borderId="0" xfId="0" applyNumberFormat="1" applyFont="1" applyAlignment="1" applyProtection="1">
      <alignment horizontal="left" vertical="center"/>
      <protection locked="0"/>
    </xf>
    <xf numFmtId="0" fontId="1" fillId="2" borderId="0" xfId="0" applyFont="1" applyFill="1" applyAlignment="1" applyProtection="1">
      <alignment horizontal="left" vertical="center"/>
      <protection locked="0"/>
    </xf>
    <xf numFmtId="14" fontId="1" fillId="2" borderId="0" xfId="0" applyNumberFormat="1" applyFont="1" applyFill="1" applyAlignment="1" applyProtection="1">
      <alignment horizontal="left" vertical="center"/>
      <protection locked="0"/>
    </xf>
    <xf numFmtId="0" fontId="1" fillId="2" borderId="0" xfId="0" applyNumberFormat="1" applyFont="1" applyFill="1" applyAlignment="1" applyProtection="1">
      <alignment horizontal="left" vertical="center"/>
      <protection locked="0"/>
    </xf>
    <xf numFmtId="0" fontId="1" fillId="0" borderId="0" xfId="0" applyFont="1" applyAlignment="1" applyProtection="1">
      <alignment horizontal="center" vertical="center"/>
      <protection locked="0"/>
    </xf>
    <xf numFmtId="0" fontId="1" fillId="0" borderId="0" xfId="0" applyFont="1" applyProtection="1"/>
    <xf numFmtId="14" fontId="1" fillId="0" borderId="0" xfId="0" applyNumberFormat="1" applyFont="1" applyProtection="1"/>
    <xf numFmtId="0" fontId="1" fillId="0" borderId="0" xfId="0" applyFont="1" applyAlignment="1" applyProtection="1">
      <alignment horizontal="left" vertical="center"/>
    </xf>
    <xf numFmtId="0" fontId="2" fillId="0" borderId="0" xfId="0" applyFont="1" applyProtection="1"/>
    <xf numFmtId="0" fontId="4" fillId="0" borderId="0" xfId="0" applyFont="1" applyFill="1" applyAlignment="1" applyProtection="1">
      <alignment horizontal="left" vertical="center"/>
    </xf>
    <xf numFmtId="0" fontId="5" fillId="0" borderId="0" xfId="0" applyFont="1" applyAlignment="1" applyProtection="1">
      <alignment horizontal="left" vertical="center"/>
    </xf>
    <xf numFmtId="0" fontId="8" fillId="0" borderId="0" xfId="0" applyFont="1" applyFill="1" applyBorder="1" applyProtection="1"/>
    <xf numFmtId="0" fontId="0" fillId="0" borderId="0" xfId="0" applyFill="1"/>
    <xf numFmtId="0" fontId="1" fillId="5" borderId="0" xfId="0" applyFont="1" applyFill="1" applyAlignment="1">
      <alignment horizontal="left" vertical="center"/>
    </xf>
    <xf numFmtId="0" fontId="0" fillId="5" borderId="0" xfId="0" applyFill="1"/>
    <xf numFmtId="14" fontId="0" fillId="5" borderId="0" xfId="0" applyNumberFormat="1" applyFill="1"/>
    <xf numFmtId="14" fontId="1" fillId="6" borderId="0" xfId="0" applyNumberFormat="1" applyFont="1" applyFill="1" applyAlignment="1" applyProtection="1">
      <alignment horizontal="center" vertical="center"/>
      <protection locked="0"/>
    </xf>
    <xf numFmtId="14" fontId="1" fillId="6" borderId="4" xfId="0" applyNumberFormat="1" applyFont="1" applyFill="1" applyBorder="1" applyAlignment="1" applyProtection="1">
      <alignment horizontal="center" vertical="center"/>
      <protection locked="0"/>
    </xf>
    <xf numFmtId="0" fontId="1" fillId="7" borderId="0" xfId="0" applyFont="1" applyFill="1" applyAlignment="1" applyProtection="1">
      <alignment horizontal="left" vertical="center"/>
    </xf>
    <xf numFmtId="0" fontId="1" fillId="7" borderId="0" xfId="0" applyFont="1" applyFill="1" applyAlignment="1" applyProtection="1">
      <alignment horizontal="left" vertical="center"/>
      <protection locked="0"/>
    </xf>
    <xf numFmtId="0" fontId="1" fillId="7" borderId="0" xfId="0" applyFont="1" applyFill="1" applyAlignment="1" applyProtection="1">
      <alignment horizontal="center" vertical="center"/>
    </xf>
    <xf numFmtId="0" fontId="1" fillId="8" borderId="0" xfId="0" applyFont="1" applyFill="1" applyAlignment="1" applyProtection="1">
      <alignment horizontal="left" vertical="center"/>
    </xf>
    <xf numFmtId="0" fontId="2" fillId="9" borderId="0" xfId="0" applyFont="1" applyFill="1" applyAlignment="1" applyProtection="1">
      <alignment vertical="center"/>
    </xf>
    <xf numFmtId="0" fontId="1" fillId="9" borderId="0" xfId="0" applyFont="1" applyFill="1" applyAlignment="1" applyProtection="1">
      <alignment horizontal="right" vertical="center"/>
    </xf>
    <xf numFmtId="0" fontId="1" fillId="9" borderId="0" xfId="0" applyFont="1" applyFill="1" applyAlignment="1" applyProtection="1">
      <alignment horizontal="center" vertical="center"/>
    </xf>
    <xf numFmtId="0" fontId="1" fillId="9" borderId="0" xfId="0" applyFont="1" applyFill="1" applyProtection="1">
      <protection locked="0"/>
    </xf>
    <xf numFmtId="0" fontId="8" fillId="0" borderId="0" xfId="0" applyFont="1" applyProtection="1">
      <protection locked="0"/>
    </xf>
    <xf numFmtId="14" fontId="8" fillId="0" borderId="0" xfId="0" applyNumberFormat="1" applyFont="1" applyFill="1" applyBorder="1" applyProtection="1"/>
    <xf numFmtId="0" fontId="8" fillId="0" borderId="0" xfId="0" applyNumberFormat="1" applyFont="1" applyFill="1" applyBorder="1" applyProtection="1"/>
    <xf numFmtId="0" fontId="1" fillId="0" borderId="5" xfId="0" applyFont="1" applyBorder="1"/>
    <xf numFmtId="0" fontId="1" fillId="0" borderId="6" xfId="0" applyFont="1" applyBorder="1"/>
    <xf numFmtId="0" fontId="0" fillId="0" borderId="7" xfId="0" applyBorder="1"/>
    <xf numFmtId="0" fontId="1" fillId="0" borderId="8" xfId="0" applyFont="1" applyBorder="1"/>
    <xf numFmtId="0" fontId="1" fillId="0" borderId="0" xfId="0" applyFont="1" applyBorder="1"/>
    <xf numFmtId="0" fontId="0" fillId="0" borderId="9" xfId="0" applyBorder="1"/>
    <xf numFmtId="0" fontId="1" fillId="0" borderId="9" xfId="0" applyFont="1" applyBorder="1"/>
    <xf numFmtId="14" fontId="1" fillId="0" borderId="0" xfId="0" applyNumberFormat="1" applyFont="1" applyBorder="1"/>
    <xf numFmtId="14" fontId="0" fillId="0" borderId="9" xfId="0" applyNumberFormat="1" applyBorder="1"/>
    <xf numFmtId="0" fontId="0" fillId="0" borderId="0" xfId="0" applyBorder="1"/>
    <xf numFmtId="0" fontId="0" fillId="0" borderId="10" xfId="0" applyBorder="1"/>
    <xf numFmtId="0" fontId="1" fillId="0" borderId="4" xfId="0" applyFont="1" applyBorder="1"/>
    <xf numFmtId="0" fontId="0" fillId="0" borderId="11" xfId="0" applyBorder="1"/>
    <xf numFmtId="0" fontId="6" fillId="0" borderId="0" xfId="0" applyFont="1" applyProtection="1"/>
    <xf numFmtId="14" fontId="1" fillId="7" borderId="0" xfId="0" applyNumberFormat="1" applyFont="1" applyFill="1" applyAlignment="1" applyProtection="1">
      <alignment horizontal="center" vertical="center"/>
      <protection locked="0"/>
    </xf>
    <xf numFmtId="0" fontId="2" fillId="0" borderId="0" xfId="0" applyFont="1" applyBorder="1" applyProtection="1"/>
    <xf numFmtId="0" fontId="1" fillId="0" borderId="0" xfId="0" applyFont="1" applyBorder="1" applyProtection="1"/>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top"/>
    </xf>
    <xf numFmtId="0" fontId="8" fillId="0" borderId="0" xfId="0" applyFont="1" applyProtection="1"/>
    <xf numFmtId="0" fontId="0" fillId="10" borderId="0" xfId="0" applyFill="1"/>
    <xf numFmtId="0" fontId="1" fillId="0" borderId="0" xfId="0" applyFont="1" applyFill="1" applyBorder="1" applyProtection="1"/>
    <xf numFmtId="0" fontId="1" fillId="0" borderId="0" xfId="0" applyFont="1" applyAlignment="1" applyProtection="1">
      <alignment horizontal="left" vertical="center"/>
      <protection hidden="1"/>
    </xf>
    <xf numFmtId="0" fontId="4" fillId="0" borderId="0" xfId="0" applyFont="1" applyFill="1" applyAlignment="1" applyProtection="1">
      <alignment horizontal="center" vertical="center"/>
      <protection hidden="1"/>
    </xf>
    <xf numFmtId="0" fontId="4" fillId="0" borderId="0" xfId="0" applyFont="1" applyFill="1" applyAlignment="1" applyProtection="1">
      <alignment horizontal="left" vertical="center"/>
      <protection hidden="1"/>
    </xf>
    <xf numFmtId="0" fontId="5" fillId="0" borderId="0" xfId="0" applyFont="1" applyAlignment="1" applyProtection="1">
      <alignment horizontal="left" vertical="center"/>
      <protection hidden="1"/>
    </xf>
    <xf numFmtId="0" fontId="1" fillId="0" borderId="0" xfId="0" applyFont="1" applyAlignment="1" applyProtection="1">
      <alignment horizontal="center" vertical="center"/>
      <protection hidden="1"/>
    </xf>
    <xf numFmtId="0" fontId="9" fillId="7" borderId="0" xfId="0" applyFont="1" applyFill="1" applyAlignment="1" applyProtection="1">
      <alignment horizontal="left" vertical="center"/>
      <protection hidden="1"/>
    </xf>
    <xf numFmtId="0" fontId="1" fillId="7" borderId="0" xfId="0" applyFont="1" applyFill="1" applyAlignment="1" applyProtection="1">
      <alignment horizontal="left" vertical="center"/>
      <protection hidden="1"/>
    </xf>
    <xf numFmtId="0" fontId="8" fillId="0" borderId="0" xfId="0" applyFont="1" applyAlignment="1" applyProtection="1">
      <alignment horizontal="left" vertical="center"/>
    </xf>
    <xf numFmtId="0" fontId="1" fillId="3" borderId="0" xfId="0" applyFont="1" applyFill="1" applyAlignment="1" applyProtection="1">
      <alignment horizontal="left" vertical="center"/>
      <protection locked="0"/>
    </xf>
    <xf numFmtId="0" fontId="1" fillId="3" borderId="0" xfId="0" applyFont="1" applyFill="1" applyAlignment="1" applyProtection="1">
      <alignment horizontal="center" vertical="center"/>
      <protection locked="0"/>
    </xf>
    <xf numFmtId="0" fontId="1" fillId="7" borderId="0" xfId="0" applyFont="1" applyFill="1" applyAlignment="1" applyProtection="1">
      <alignment horizontal="center" vertical="center"/>
      <protection hidden="1"/>
    </xf>
    <xf numFmtId="0" fontId="1" fillId="8" borderId="0" xfId="0" applyFont="1" applyFill="1" applyAlignment="1" applyProtection="1">
      <alignment horizontal="center" vertical="center"/>
      <protection hidden="1"/>
    </xf>
    <xf numFmtId="0" fontId="12" fillId="0" borderId="0" xfId="0" applyFont="1" applyAlignment="1" applyProtection="1">
      <alignment horizontal="center" vertical="center"/>
      <protection hidden="1"/>
    </xf>
    <xf numFmtId="0" fontId="1" fillId="0" borderId="0" xfId="0" applyFont="1" applyAlignment="1" applyProtection="1">
      <alignment horizontal="center"/>
    </xf>
    <xf numFmtId="0" fontId="1" fillId="0" borderId="0" xfId="0" applyFont="1" applyAlignment="1">
      <alignment horizontal="center" vertical="center"/>
    </xf>
  </cellXfs>
  <cellStyles count="1">
    <cellStyle name="Standard" xfId="0" builtinId="0"/>
  </cellStyles>
  <dxfs count="4">
    <dxf>
      <fill>
        <patternFill>
          <bgColor rgb="FFF8F896"/>
        </patternFill>
      </fill>
    </dxf>
    <dxf>
      <font>
        <color auto="1"/>
      </font>
    </dxf>
    <dxf>
      <fill>
        <patternFill>
          <bgColor rgb="FFF8F896"/>
        </patternFill>
      </fill>
    </dxf>
    <dxf>
      <font>
        <color auto="1"/>
      </font>
    </dxf>
  </dxfs>
  <tableStyles count="0" defaultTableStyle="TableStyleMedium2" defaultPivotStyle="PivotStyleLight16"/>
  <colors>
    <mruColors>
      <color rgb="FFF8F8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de-DE" sz="1600" b="1"/>
              <a:t>Wann</a:t>
            </a:r>
            <a:r>
              <a:rPr lang="de-DE" sz="1600" b="1" baseline="0"/>
              <a:t> darf ich düngen? 2026/27</a:t>
            </a:r>
            <a:endParaRPr lang="de-DE"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2.7668594940353858E-2"/>
          <c:y val="0.220974159516481"/>
          <c:w val="0.943396499938427"/>
          <c:h val="0.64008361745549602"/>
        </c:manualLayout>
      </c:layout>
      <c:barChart>
        <c:barDir val="bar"/>
        <c:grouping val="stacked"/>
        <c:varyColors val="0"/>
        <c:ser>
          <c:idx val="0"/>
          <c:order val="0"/>
          <c:tx>
            <c:strRef>
              <c:f>Diagramm!$B$3</c:f>
              <c:strCache>
                <c:ptCount val="1"/>
                <c:pt idx="0">
                  <c:v> </c:v>
                </c:pt>
              </c:strCache>
            </c:strRef>
          </c:tx>
          <c:spPr>
            <a:solidFill>
              <a:schemeClr val="accent1"/>
            </a:solidFill>
            <a:ln>
              <a:noFill/>
            </a:ln>
            <a:effectLst/>
          </c:spPr>
          <c:invertIfNegative val="0"/>
          <c:dPt>
            <c:idx val="2"/>
            <c:invertIfNegative val="0"/>
            <c:bubble3D val="0"/>
            <c:spPr>
              <a:solidFill>
                <a:schemeClr val="accent1"/>
              </a:solidFill>
              <a:ln>
                <a:noFill/>
              </a:ln>
              <a:effectLst/>
            </c:spPr>
            <c:extLst>
              <c:ext xmlns:c16="http://schemas.microsoft.com/office/drawing/2014/chart" uri="{C3380CC4-5D6E-409C-BE32-E72D297353CC}">
                <c16:uniqueId val="{00000001-C148-4730-8C81-F6FE43BD88B8}"/>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Diagramm!$C$3:$E$3</c:f>
              <c:numCache>
                <c:formatCode>General</c:formatCode>
                <c:ptCount val="3"/>
                <c:pt idx="0">
                  <c:v>0</c:v>
                </c:pt>
                <c:pt idx="1">
                  <c:v>0</c:v>
                </c:pt>
                <c:pt idx="2">
                  <c:v>0</c:v>
                </c:pt>
              </c:numCache>
            </c:numRef>
          </c:val>
          <c:extLst>
            <c:ext xmlns:c16="http://schemas.microsoft.com/office/drawing/2014/chart" uri="{C3380CC4-5D6E-409C-BE32-E72D297353CC}">
              <c16:uniqueId val="{00000002-C148-4730-8C81-F6FE43BD88B8}"/>
            </c:ext>
          </c:extLst>
        </c:ser>
        <c:ser>
          <c:idx val="1"/>
          <c:order val="1"/>
          <c:tx>
            <c:strRef>
              <c:f>Diagramm!$B$4</c:f>
              <c:strCache>
                <c:ptCount val="1"/>
                <c:pt idx="0">
                  <c:v>Getreide (Drusch)</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Diagramm!$C$4:$E$4</c:f>
              <c:numCache>
                <c:formatCode>General</c:formatCode>
                <c:ptCount val="3"/>
                <c:pt idx="2">
                  <c:v>62</c:v>
                </c:pt>
              </c:numCache>
            </c:numRef>
          </c:val>
          <c:extLst>
            <c:ext xmlns:c16="http://schemas.microsoft.com/office/drawing/2014/chart" uri="{C3380CC4-5D6E-409C-BE32-E72D297353CC}">
              <c16:uniqueId val="{00000003-C148-4730-8C81-F6FE43BD88B8}"/>
            </c:ext>
          </c:extLst>
        </c:ser>
        <c:ser>
          <c:idx val="2"/>
          <c:order val="2"/>
          <c:tx>
            <c:strRef>
              <c:f>Diagramm!$B$5</c:f>
              <c:strCache>
                <c:ptCount val="1"/>
              </c:strCache>
            </c:strRef>
          </c:tx>
          <c:spPr>
            <a:noFill/>
            <a:ln>
              <a:solidFill>
                <a:sysClr val="windowText" lastClr="000000">
                  <a:lumMod val="25000"/>
                  <a:lumOff val="75000"/>
                </a:sysClr>
              </a:solidFill>
            </a:ln>
            <a:effectLst/>
          </c:spPr>
          <c:invertIfNegative val="0"/>
          <c:dLbls>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dk1">
                        <a:lumMod val="65000"/>
                        <a:lumOff val="35000"/>
                      </a:schemeClr>
                    </a:solidFill>
                    <a:latin typeface="+mn-lt"/>
                    <a:ea typeface="+mn-ea"/>
                    <a:cs typeface="+mn-cs"/>
                  </a:defRPr>
                </a:pPr>
                <a:endParaRPr lang="de-DE"/>
              </a:p>
            </c:txPr>
            <c:dLblPos val="ct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val>
            <c:numRef>
              <c:f>Diagramm!$C$5:$E$5</c:f>
              <c:numCache>
                <c:formatCode>General</c:formatCode>
                <c:ptCount val="3"/>
                <c:pt idx="2">
                  <c:v>32</c:v>
                </c:pt>
              </c:numCache>
            </c:numRef>
          </c:val>
          <c:extLst>
            <c:ext xmlns:c16="http://schemas.microsoft.com/office/drawing/2014/chart" uri="{C3380CC4-5D6E-409C-BE32-E72D297353CC}">
              <c16:uniqueId val="{00000004-C148-4730-8C81-F6FE43BD88B8}"/>
            </c:ext>
          </c:extLst>
        </c:ser>
        <c:ser>
          <c:idx val="3"/>
          <c:order val="3"/>
          <c:tx>
            <c:strRef>
              <c:f>Diagramm!$B$6</c:f>
              <c:strCache>
                <c:ptCount val="1"/>
                <c:pt idx="0">
                  <c:v> </c:v>
                </c:pt>
              </c:strCache>
            </c:strRef>
          </c:tx>
          <c:spPr>
            <a:solidFill>
              <a:srgbClr val="92D050"/>
            </a:solidFill>
            <a:ln>
              <a:noFill/>
            </a:ln>
            <a:effectLst/>
          </c:spPr>
          <c:invertIfNegative val="0"/>
          <c:dLbls>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dk1">
                        <a:lumMod val="65000"/>
                        <a:lumOff val="35000"/>
                      </a:schemeClr>
                    </a:solidFill>
                    <a:latin typeface="+mn-lt"/>
                    <a:ea typeface="+mn-ea"/>
                    <a:cs typeface="+mn-cs"/>
                  </a:defRPr>
                </a:pPr>
                <a:endParaRPr lang="de-DE"/>
              </a:p>
            </c:txPr>
            <c:dLblPos val="ct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val>
            <c:numRef>
              <c:f>Diagramm!$C$6:$E$6</c:f>
              <c:numCache>
                <c:formatCode>General</c:formatCode>
                <c:ptCount val="3"/>
                <c:pt idx="2">
                  <c:v>0</c:v>
                </c:pt>
              </c:numCache>
            </c:numRef>
          </c:val>
          <c:extLst>
            <c:ext xmlns:c16="http://schemas.microsoft.com/office/drawing/2014/chart" uri="{C3380CC4-5D6E-409C-BE32-E72D297353CC}">
              <c16:uniqueId val="{00000005-C148-4730-8C81-F6FE43BD88B8}"/>
            </c:ext>
          </c:extLst>
        </c:ser>
        <c:ser>
          <c:idx val="4"/>
          <c:order val="4"/>
          <c:tx>
            <c:strRef>
              <c:f>Diagramm!$B$7</c:f>
              <c:strCache>
                <c:ptCount val="1"/>
                <c:pt idx="0">
                  <c:v> </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Diagramm!$C$7:$E$7</c:f>
              <c:numCache>
                <c:formatCode>General</c:formatCode>
                <c:ptCount val="3"/>
                <c:pt idx="2">
                  <c:v>0</c:v>
                </c:pt>
              </c:numCache>
            </c:numRef>
          </c:val>
          <c:extLst>
            <c:ext xmlns:c16="http://schemas.microsoft.com/office/drawing/2014/chart" uri="{C3380CC4-5D6E-409C-BE32-E72D297353CC}">
              <c16:uniqueId val="{00000006-C148-4730-8C81-F6FE43BD88B8}"/>
            </c:ext>
          </c:extLst>
        </c:ser>
        <c:ser>
          <c:idx val="5"/>
          <c:order val="5"/>
          <c:tx>
            <c:strRef>
              <c:f>Diagramm!$B$8</c:f>
              <c:strCache>
                <c:ptCount val="1"/>
              </c:strCache>
            </c:strRef>
          </c:tx>
          <c:spPr>
            <a:noFill/>
            <a:ln>
              <a:solidFill>
                <a:schemeClr val="bg1">
                  <a:lumMod val="75000"/>
                </a:schemeClr>
              </a:solidFill>
            </a:ln>
            <a:effectLst/>
          </c:spPr>
          <c:invertIfNegative val="0"/>
          <c:dLbls>
            <c:dLbl>
              <c:idx val="2"/>
              <c:layout>
                <c:manualLayout>
                  <c:x val="1.6064257028111861E-3"/>
                  <c:y val="1.7979339556761249E-3"/>
                </c:manualLayout>
              </c:layout>
              <c:dLblPos val="ctr"/>
              <c:showLegendKey val="0"/>
              <c:showVal val="0"/>
              <c:showCatName val="0"/>
              <c:showSerName val="1"/>
              <c:showPercent val="0"/>
              <c:showBubbleSize val="0"/>
              <c:extLst>
                <c:ext xmlns:c15="http://schemas.microsoft.com/office/drawing/2012/chart" uri="{CE6537A1-D6FC-4f65-9D91-7224C49458BB}">
                  <c15:layout>
                    <c:manualLayout>
                      <c:w val="0.13986136672674951"/>
                      <c:h val="9.393437697941788E-2"/>
                    </c:manualLayout>
                  </c15:layout>
                </c:ext>
                <c:ext xmlns:c16="http://schemas.microsoft.com/office/drawing/2014/chart" uri="{C3380CC4-5D6E-409C-BE32-E72D297353CC}">
                  <c16:uniqueId val="{00000007-C148-4730-8C81-F6FE43BD88B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Diagramm!$C$8:$E$8</c:f>
              <c:numCache>
                <c:formatCode>General</c:formatCode>
                <c:ptCount val="3"/>
                <c:pt idx="2">
                  <c:v>0</c:v>
                </c:pt>
              </c:numCache>
            </c:numRef>
          </c:val>
          <c:extLst>
            <c:ext xmlns:c16="http://schemas.microsoft.com/office/drawing/2014/chart" uri="{C3380CC4-5D6E-409C-BE32-E72D297353CC}">
              <c16:uniqueId val="{00000008-C148-4730-8C81-F6FE43BD88B8}"/>
            </c:ext>
          </c:extLst>
        </c:ser>
        <c:ser>
          <c:idx val="6"/>
          <c:order val="6"/>
          <c:tx>
            <c:strRef>
              <c:f>Diagramm!$B$9</c:f>
              <c:strCache>
                <c:ptCount val="1"/>
                <c:pt idx="0">
                  <c:v>W-Gerste (Drusch)</c:v>
                </c:pt>
              </c:strCache>
            </c:strRef>
          </c:tx>
          <c:spPr>
            <a:solidFill>
              <a:srgbClr val="FFC000"/>
            </a:solidFill>
            <a:ln>
              <a:noFill/>
            </a:ln>
            <a:effectLst/>
          </c:spPr>
          <c:invertIfNegative val="0"/>
          <c:dLbls>
            <c:dLbl>
              <c:idx val="1"/>
              <c:layout>
                <c:manualLayout>
                  <c:x val="-1.1318530005481064E-2"/>
                  <c:y val="1.4807737806114273E-7"/>
                </c:manualLayout>
              </c:layout>
              <c:dLblPos val="ctr"/>
              <c:showLegendKey val="0"/>
              <c:showVal val="0"/>
              <c:showCatName val="0"/>
              <c:showSerName val="1"/>
              <c:showPercent val="0"/>
              <c:showBubbleSize val="0"/>
              <c:extLst>
                <c:ext xmlns:c15="http://schemas.microsoft.com/office/drawing/2012/chart" uri="{CE6537A1-D6FC-4f65-9D91-7224C49458BB}">
                  <c15:layout>
                    <c:manualLayout>
                      <c:w val="0.27733771818420827"/>
                      <c:h val="0.10877171887924376"/>
                    </c:manualLayout>
                  </c15:layout>
                </c:ext>
                <c:ext xmlns:c16="http://schemas.microsoft.com/office/drawing/2014/chart" uri="{C3380CC4-5D6E-409C-BE32-E72D297353CC}">
                  <c16:uniqueId val="{00000009-C148-4730-8C81-F6FE43BD88B8}"/>
                </c:ext>
              </c:extLst>
            </c:dLbl>
            <c:dLbl>
              <c:idx val="2"/>
              <c:layout>
                <c:manualLayout>
                  <c:x val="1.811035922590213E-2"/>
                  <c:y val="1.6673338343015545E-3"/>
                </c:manualLayout>
              </c:layout>
              <c:dLblPos val="ctr"/>
              <c:showLegendKey val="0"/>
              <c:showVal val="0"/>
              <c:showCatName val="0"/>
              <c:showSerName val="1"/>
              <c:showPercent val="0"/>
              <c:showBubbleSize val="0"/>
              <c:extLst>
                <c:ext xmlns:c15="http://schemas.microsoft.com/office/drawing/2012/chart" uri="{CE6537A1-D6FC-4f65-9D91-7224C49458BB}">
                  <c15:layout>
                    <c:manualLayout>
                      <c:w val="0.16487985895080814"/>
                      <c:h val="0.13072897577949835"/>
                    </c:manualLayout>
                  </c15:layout>
                </c:ext>
                <c:ext xmlns:c16="http://schemas.microsoft.com/office/drawing/2014/chart" uri="{C3380CC4-5D6E-409C-BE32-E72D297353CC}">
                  <c16:uniqueId val="{0000000A-C148-4730-8C81-F6FE43BD88B8}"/>
                </c:ext>
              </c:extLst>
            </c:dLbl>
            <c:spPr>
              <a:no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dk1">
                        <a:lumMod val="65000"/>
                        <a:lumOff val="35000"/>
                      </a:schemeClr>
                    </a:solidFill>
                    <a:latin typeface="+mn-lt"/>
                    <a:ea typeface="+mn-ea"/>
                    <a:cs typeface="+mn-cs"/>
                  </a:defRPr>
                </a:pPr>
                <a:endParaRPr lang="de-DE"/>
              </a:p>
            </c:txPr>
            <c:dLblPos val="ct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val>
            <c:numRef>
              <c:f>Diagramm!$C$9:$E$9</c:f>
              <c:numCache>
                <c:formatCode>General</c:formatCode>
                <c:ptCount val="3"/>
                <c:pt idx="2">
                  <c:v>211</c:v>
                </c:pt>
              </c:numCache>
            </c:numRef>
          </c:val>
          <c:extLst>
            <c:ext xmlns:c16="http://schemas.microsoft.com/office/drawing/2014/chart" uri="{C3380CC4-5D6E-409C-BE32-E72D297353CC}">
              <c16:uniqueId val="{0000000B-C148-4730-8C81-F6FE43BD88B8}"/>
            </c:ext>
          </c:extLst>
        </c:ser>
        <c:ser>
          <c:idx val="7"/>
          <c:order val="7"/>
          <c:tx>
            <c:strRef>
              <c:f>Diagramm!$B$10</c:f>
              <c:strCache>
                <c:ptCount val="1"/>
                <c:pt idx="0">
                  <c:v>DBE VF</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Diagramm!$C$10:$E$10</c:f>
              <c:numCache>
                <c:formatCode>General</c:formatCode>
                <c:ptCount val="3"/>
                <c:pt idx="0">
                  <c:v>62</c:v>
                </c:pt>
              </c:numCache>
            </c:numRef>
          </c:val>
          <c:extLst>
            <c:ext xmlns:c16="http://schemas.microsoft.com/office/drawing/2014/chart" uri="{C3380CC4-5D6E-409C-BE32-E72D297353CC}">
              <c16:uniqueId val="{0000000C-C148-4730-8C81-F6FE43BD88B8}"/>
            </c:ext>
          </c:extLst>
        </c:ser>
        <c:ser>
          <c:idx val="18"/>
          <c:order val="8"/>
          <c:tx>
            <c:strRef>
              <c:f>Diagramm!$B$11</c:f>
              <c:strCache>
                <c:ptCount val="1"/>
                <c:pt idx="0">
                  <c:v>DBE VF</c:v>
                </c:pt>
              </c:strCache>
            </c:strRef>
          </c:tx>
          <c:spPr>
            <a:solidFill>
              <a:schemeClr val="accent1">
                <a:lumMod val="80000"/>
              </a:schemeClr>
            </a:solidFill>
            <a:ln>
              <a:noFill/>
            </a:ln>
            <a:effectLst/>
          </c:spPr>
          <c:invertIfNegative val="0"/>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0E-C148-4730-8C81-F6FE43BD88B8}"/>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Diagramm!$C$11:$E$11</c:f>
              <c:numCache>
                <c:formatCode>General</c:formatCode>
                <c:ptCount val="3"/>
                <c:pt idx="1">
                  <c:v>62</c:v>
                </c:pt>
              </c:numCache>
            </c:numRef>
          </c:val>
          <c:extLst>
            <c:ext xmlns:c16="http://schemas.microsoft.com/office/drawing/2014/chart" uri="{C3380CC4-5D6E-409C-BE32-E72D297353CC}">
              <c16:uniqueId val="{0000000F-C148-4730-8C81-F6FE43BD88B8}"/>
            </c:ext>
          </c:extLst>
        </c:ser>
        <c:ser>
          <c:idx val="8"/>
          <c:order val="9"/>
          <c:tx>
            <c:strRef>
              <c:f>Diagramm!$B$12</c:f>
              <c:strCache>
                <c:ptCount val="1"/>
                <c:pt idx="0">
                  <c:v> </c:v>
                </c:pt>
              </c:strCache>
            </c:strRef>
          </c:tx>
          <c:spPr>
            <a:gradFill>
              <a:gsLst>
                <a:gs pos="0">
                  <a:schemeClr val="bg1">
                    <a:lumMod val="95000"/>
                  </a:schemeClr>
                </a:gs>
                <a:gs pos="33000">
                  <a:schemeClr val="bg1">
                    <a:lumMod val="85000"/>
                  </a:schemeClr>
                </a:gs>
                <a:gs pos="100000">
                  <a:schemeClr val="bg1">
                    <a:lumMod val="65000"/>
                  </a:schemeClr>
                </a:gs>
                <a:gs pos="100000">
                  <a:schemeClr val="bg1">
                    <a:lumMod val="65000"/>
                  </a:schemeClr>
                </a:gs>
                <a:gs pos="66000">
                  <a:schemeClr val="bg1">
                    <a:lumMod val="75000"/>
                  </a:schemeClr>
                </a:gs>
              </a:gsLst>
              <a:lin ang="10800000" scaled="1"/>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Diagramm!$C$12:$E$12</c:f>
              <c:numCache>
                <c:formatCode>General</c:formatCode>
                <c:ptCount val="3"/>
                <c:pt idx="1">
                  <c:v>0</c:v>
                </c:pt>
              </c:numCache>
            </c:numRef>
          </c:val>
          <c:extLst>
            <c:ext xmlns:c16="http://schemas.microsoft.com/office/drawing/2014/chart" uri="{C3380CC4-5D6E-409C-BE32-E72D297353CC}">
              <c16:uniqueId val="{00000010-C148-4730-8C81-F6FE43BD88B8}"/>
            </c:ext>
          </c:extLst>
        </c:ser>
        <c:ser>
          <c:idx val="10"/>
          <c:order val="10"/>
          <c:tx>
            <c:strRef>
              <c:f>Diagramm!$B$13</c:f>
              <c:strCache>
                <c:ptCount val="1"/>
                <c:pt idx="0">
                  <c:v> </c:v>
                </c:pt>
              </c:strCache>
            </c:strRef>
          </c:tx>
          <c:spPr>
            <a:gradFill>
              <a:gsLst>
                <a:gs pos="0">
                  <a:schemeClr val="accent5">
                    <a:lumMod val="20000"/>
                    <a:lumOff val="80000"/>
                  </a:schemeClr>
                </a:gs>
                <a:gs pos="33000">
                  <a:schemeClr val="accent5">
                    <a:lumMod val="40000"/>
                    <a:lumOff val="60000"/>
                  </a:schemeClr>
                </a:gs>
                <a:gs pos="100000">
                  <a:schemeClr val="accent5">
                    <a:lumMod val="75000"/>
                  </a:schemeClr>
                </a:gs>
                <a:gs pos="66000">
                  <a:schemeClr val="accent5">
                    <a:lumMod val="60000"/>
                    <a:lumOff val="40000"/>
                  </a:schemeClr>
                </a:gs>
              </a:gsLst>
              <a:lin ang="10800000" scaled="1"/>
            </a:gradFill>
            <a:ln>
              <a:noFill/>
            </a:ln>
            <a:effectLst/>
          </c:spPr>
          <c:invertIfNegative val="0"/>
          <c:dPt>
            <c:idx val="0"/>
            <c:invertIfNegative val="0"/>
            <c:bubble3D val="0"/>
            <c:spPr>
              <a:gradFill>
                <a:gsLst>
                  <a:gs pos="0">
                    <a:schemeClr val="accent5">
                      <a:lumMod val="20000"/>
                      <a:lumOff val="80000"/>
                    </a:schemeClr>
                  </a:gs>
                  <a:gs pos="33000">
                    <a:schemeClr val="accent5">
                      <a:lumMod val="40000"/>
                      <a:lumOff val="60000"/>
                    </a:schemeClr>
                  </a:gs>
                  <a:gs pos="100000">
                    <a:schemeClr val="accent5">
                      <a:lumMod val="75000"/>
                    </a:schemeClr>
                  </a:gs>
                  <a:gs pos="66000">
                    <a:schemeClr val="accent5">
                      <a:lumMod val="60000"/>
                      <a:lumOff val="40000"/>
                    </a:schemeClr>
                  </a:gs>
                </a:gsLst>
                <a:lin ang="10800000" scaled="1"/>
              </a:gradFill>
              <a:ln>
                <a:noFill/>
              </a:ln>
              <a:effectLst/>
            </c:spPr>
            <c:extLst>
              <c:ext xmlns:c16="http://schemas.microsoft.com/office/drawing/2014/chart" uri="{C3380CC4-5D6E-409C-BE32-E72D297353CC}">
                <c16:uniqueId val="{00000012-C148-4730-8C81-F6FE43BD88B8}"/>
              </c:ext>
            </c:extLst>
          </c:dPt>
          <c:dLbls>
            <c:dLbl>
              <c:idx val="0"/>
              <c:delete val="1"/>
              <c:extLst>
                <c:ext xmlns:c15="http://schemas.microsoft.com/office/drawing/2012/chart" uri="{CE6537A1-D6FC-4f65-9D91-7224C49458BB}"/>
                <c:ext xmlns:c16="http://schemas.microsoft.com/office/drawing/2014/chart" uri="{C3380CC4-5D6E-409C-BE32-E72D297353CC}">
                  <c16:uniqueId val="{00000012-C148-4730-8C81-F6FE43BD88B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Diagramm!$C$13:$E$13</c:f>
              <c:numCache>
                <c:formatCode>General</c:formatCode>
                <c:ptCount val="3"/>
                <c:pt idx="1">
                  <c:v>0</c:v>
                </c:pt>
              </c:numCache>
            </c:numRef>
          </c:val>
          <c:extLst>
            <c:ext xmlns:c16="http://schemas.microsoft.com/office/drawing/2014/chart" uri="{C3380CC4-5D6E-409C-BE32-E72D297353CC}">
              <c16:uniqueId val="{00000013-C148-4730-8C81-F6FE43BD88B8}"/>
            </c:ext>
          </c:extLst>
        </c:ser>
        <c:ser>
          <c:idx val="9"/>
          <c:order val="11"/>
          <c:tx>
            <c:strRef>
              <c:f>Diagramm!$B$14</c:f>
              <c:strCache>
                <c:ptCount val="1"/>
                <c:pt idx="0">
                  <c:v>praxisübliche Menge</c:v>
                </c:pt>
              </c:strCache>
            </c:strRef>
          </c:tx>
          <c:spPr>
            <a:gradFill flip="none" rotWithShape="1">
              <a:gsLst>
                <a:gs pos="0">
                  <a:schemeClr val="bg1"/>
                </a:gs>
                <a:gs pos="32000">
                  <a:schemeClr val="accent1">
                    <a:lumMod val="20000"/>
                    <a:lumOff val="80000"/>
                  </a:schemeClr>
                </a:gs>
                <a:gs pos="66000">
                  <a:schemeClr val="accent1">
                    <a:lumMod val="40000"/>
                    <a:lumOff val="60000"/>
                  </a:schemeClr>
                </a:gs>
                <a:gs pos="100000">
                  <a:schemeClr val="accent1">
                    <a:lumMod val="60000"/>
                    <a:lumOff val="40000"/>
                  </a:schemeClr>
                </a:gs>
              </a:gsLst>
              <a:lin ang="10800000" scaled="1"/>
              <a:tileRect/>
            </a:gra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4-C148-4730-8C81-F6FE43BD88B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Diagramm!$C$14:$E$14</c:f>
              <c:numCache>
                <c:formatCode>General</c:formatCode>
                <c:ptCount val="3"/>
                <c:pt idx="1">
                  <c:v>122</c:v>
                </c:pt>
              </c:numCache>
            </c:numRef>
          </c:val>
          <c:extLst>
            <c:ext xmlns:c16="http://schemas.microsoft.com/office/drawing/2014/chart" uri="{C3380CC4-5D6E-409C-BE32-E72D297353CC}">
              <c16:uniqueId val="{00000015-C148-4730-8C81-F6FE43BD88B8}"/>
            </c:ext>
          </c:extLst>
        </c:ser>
        <c:ser>
          <c:idx val="11"/>
          <c:order val="12"/>
          <c:tx>
            <c:strRef>
              <c:f>Diagramm!$B$15</c:f>
              <c:strCache>
                <c:ptCount val="1"/>
                <c:pt idx="0">
                  <c:v>Sperrfrist (N) 01.12. - 15.01.</c:v>
                </c:pt>
              </c:strCache>
            </c:strRef>
          </c:tx>
          <c:spPr>
            <a:pattFill prst="ltUpDiag">
              <a:fgClr>
                <a:srgbClr val="FF0000"/>
              </a:fgClr>
              <a:bgClr>
                <a:schemeClr val="bg1"/>
              </a:bgClr>
            </a:patt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6-C148-4730-8C81-F6FE43BD88B8}"/>
                </c:ext>
              </c:extLst>
            </c:dLbl>
            <c:dLbl>
              <c:idx val="1"/>
              <c:spPr>
                <a:solidFill>
                  <a:schemeClr val="bg1">
                    <a:alpha val="60000"/>
                  </a:schemeClr>
                </a:solidFill>
                <a:ln>
                  <a:noFill/>
                </a:ln>
                <a:effectLst/>
              </c:spPr>
              <c:txPr>
                <a:bodyPr rot="0" spcFirstLastPara="1" vertOverflow="clip" horzOverflow="clip" vert="horz" wrap="square" lIns="38100" tIns="19050" rIns="38100" bIns="19050" numCol="1"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de-DE"/>
                </a:p>
              </c:txPr>
              <c:dLblPos val="ctr"/>
              <c:showLegendKey val="0"/>
              <c:showVal val="0"/>
              <c:showCatName val="0"/>
              <c:showSerName val="1"/>
              <c:showPercent val="0"/>
              <c:showBubbleSize val="0"/>
              <c:extLst>
                <c:ext xmlns:c15="http://schemas.microsoft.com/office/drawing/2012/chart" uri="{CE6537A1-D6FC-4f65-9D91-7224C49458BB}">
                  <c15:spPr xmlns:c15="http://schemas.microsoft.com/office/drawing/2012/chart">
                    <a:prstGeom prst="rect">
                      <a:avLst/>
                    </a:prstGeom>
                    <a:noFill/>
                    <a:ln>
                      <a:noFill/>
                    </a:ln>
                  </c15:spPr>
                  <c15:layout>
                    <c:manualLayout>
                      <c:w val="0.10394685423993748"/>
                      <c:h val="0.11319819333317989"/>
                    </c:manualLayout>
                  </c15:layout>
                </c:ext>
                <c:ext xmlns:c16="http://schemas.microsoft.com/office/drawing/2014/chart" uri="{C3380CC4-5D6E-409C-BE32-E72D297353CC}">
                  <c16:uniqueId val="{00000017-C148-4730-8C81-F6FE43BD88B8}"/>
                </c:ext>
              </c:extLst>
            </c:dLbl>
            <c:spPr>
              <a:noFill/>
              <a:ln>
                <a:noFill/>
              </a:ln>
              <a:effectLst/>
            </c:spPr>
            <c:txPr>
              <a:bodyPr rot="0" spcFirstLastPara="1" vertOverflow="clip" horzOverflow="clip" vert="horz" wrap="square" lIns="38100" tIns="19050" rIns="38100" bIns="19050" numCol="1"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Diagramm!$C$15:$E$15</c:f>
              <c:numCache>
                <c:formatCode>General</c:formatCode>
                <c:ptCount val="3"/>
                <c:pt idx="1">
                  <c:v>45</c:v>
                </c:pt>
              </c:numCache>
            </c:numRef>
          </c:val>
          <c:extLst>
            <c:ext xmlns:c16="http://schemas.microsoft.com/office/drawing/2014/chart" uri="{C3380CC4-5D6E-409C-BE32-E72D297353CC}">
              <c16:uniqueId val="{00000018-C148-4730-8C81-F6FE43BD88B8}"/>
            </c:ext>
          </c:extLst>
        </c:ser>
        <c:ser>
          <c:idx val="12"/>
          <c:order val="13"/>
          <c:tx>
            <c:strRef>
              <c:f>Diagramm!$B$16</c:f>
              <c:strCache>
                <c:ptCount val="1"/>
                <c:pt idx="0">
                  <c:v>DBE-HF</c:v>
                </c:pt>
              </c:strCache>
            </c:strRef>
          </c:tx>
          <c:spPr>
            <a:solidFill>
              <a:schemeClr val="accent1">
                <a:lumMod val="80000"/>
                <a:lumOff val="20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9-C148-4730-8C81-F6FE43BD88B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Diagramm!$C$16:$E$16</c:f>
              <c:numCache>
                <c:formatCode>General</c:formatCode>
                <c:ptCount val="3"/>
                <c:pt idx="1">
                  <c:v>76</c:v>
                </c:pt>
              </c:numCache>
            </c:numRef>
          </c:val>
          <c:extLst>
            <c:ext xmlns:c16="http://schemas.microsoft.com/office/drawing/2014/chart" uri="{C3380CC4-5D6E-409C-BE32-E72D297353CC}">
              <c16:uniqueId val="{0000001A-C148-4730-8C81-F6FE43BD88B8}"/>
            </c:ext>
          </c:extLst>
        </c:ser>
        <c:ser>
          <c:idx val="13"/>
          <c:order val="14"/>
          <c:tx>
            <c:strRef>
              <c:f>Diagramm!$B$17</c:f>
              <c:strCache>
                <c:ptCount val="1"/>
                <c:pt idx="0">
                  <c:v> </c:v>
                </c:pt>
              </c:strCache>
            </c:strRef>
          </c:tx>
          <c:spPr>
            <a:gradFill>
              <a:gsLst>
                <a:gs pos="0">
                  <a:schemeClr val="accent2">
                    <a:lumMod val="20000"/>
                    <a:lumOff val="80000"/>
                  </a:schemeClr>
                </a:gs>
                <a:gs pos="33000">
                  <a:schemeClr val="accent2">
                    <a:lumMod val="40000"/>
                    <a:lumOff val="60000"/>
                  </a:schemeClr>
                </a:gs>
                <a:gs pos="100000">
                  <a:schemeClr val="accent2">
                    <a:lumMod val="75000"/>
                  </a:schemeClr>
                </a:gs>
                <a:gs pos="100000">
                  <a:schemeClr val="accent2">
                    <a:lumMod val="75000"/>
                  </a:schemeClr>
                </a:gs>
                <a:gs pos="66000">
                  <a:schemeClr val="accent2">
                    <a:lumMod val="60000"/>
                    <a:lumOff val="40000"/>
                  </a:schemeClr>
                </a:gs>
              </a:gsLst>
              <a:lin ang="10800000" scaled="1"/>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Diagramm!$C$17:$E$17</c:f>
              <c:numCache>
                <c:formatCode>General</c:formatCode>
                <c:ptCount val="3"/>
                <c:pt idx="0">
                  <c:v>0</c:v>
                </c:pt>
              </c:numCache>
            </c:numRef>
          </c:val>
          <c:extLst>
            <c:ext xmlns:c16="http://schemas.microsoft.com/office/drawing/2014/chart" uri="{C3380CC4-5D6E-409C-BE32-E72D297353CC}">
              <c16:uniqueId val="{0000001B-C148-4730-8C81-F6FE43BD88B8}"/>
            </c:ext>
          </c:extLst>
        </c:ser>
        <c:ser>
          <c:idx val="14"/>
          <c:order val="15"/>
          <c:tx>
            <c:strRef>
              <c:f>Diagramm!$B$18</c:f>
              <c:strCache>
                <c:ptCount val="1"/>
                <c:pt idx="0">
                  <c:v> </c:v>
                </c:pt>
              </c:strCache>
            </c:strRef>
          </c:tx>
          <c:spPr>
            <a:gradFill>
              <a:gsLst>
                <a:gs pos="0">
                  <a:schemeClr val="bg1">
                    <a:lumMod val="95000"/>
                  </a:schemeClr>
                </a:gs>
                <a:gs pos="33000">
                  <a:schemeClr val="bg1">
                    <a:lumMod val="85000"/>
                  </a:schemeClr>
                </a:gs>
                <a:gs pos="100000">
                  <a:schemeClr val="bg1">
                    <a:lumMod val="65000"/>
                  </a:schemeClr>
                </a:gs>
                <a:gs pos="66000">
                  <a:schemeClr val="bg1">
                    <a:lumMod val="75000"/>
                  </a:schemeClr>
                </a:gs>
              </a:gsLst>
              <a:lin ang="10800000" scaled="1"/>
            </a:gradFill>
            <a:ln>
              <a:noFill/>
            </a:ln>
            <a:effectLst/>
          </c:spPr>
          <c:invertIfNegative val="0"/>
          <c:dLbls>
            <c:dLbl>
              <c:idx val="0"/>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extLst>
                <c:ext xmlns:c15="http://schemas.microsoft.com/office/drawing/2012/chart" uri="{CE6537A1-D6FC-4f65-9D91-7224C49458BB}">
                  <c15:layout>
                    <c:manualLayout>
                      <c:w val="0.13012857730133129"/>
                      <c:h val="6.1870010762800569E-2"/>
                    </c:manualLayout>
                  </c15:layout>
                </c:ext>
                <c:ext xmlns:c16="http://schemas.microsoft.com/office/drawing/2014/chart" uri="{C3380CC4-5D6E-409C-BE32-E72D297353CC}">
                  <c16:uniqueId val="{0000001C-C148-4730-8C81-F6FE43BD88B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Diagramm!$C$18:$E$18</c:f>
              <c:numCache>
                <c:formatCode>General</c:formatCode>
                <c:ptCount val="3"/>
                <c:pt idx="0">
                  <c:v>0</c:v>
                </c:pt>
              </c:numCache>
            </c:numRef>
          </c:val>
          <c:extLst>
            <c:ext xmlns:c16="http://schemas.microsoft.com/office/drawing/2014/chart" uri="{C3380CC4-5D6E-409C-BE32-E72D297353CC}">
              <c16:uniqueId val="{0000001D-C148-4730-8C81-F6FE43BD88B8}"/>
            </c:ext>
          </c:extLst>
        </c:ser>
        <c:ser>
          <c:idx val="15"/>
          <c:order val="16"/>
          <c:tx>
            <c:strRef>
              <c:f>Diagramm!$B$19</c:f>
              <c:strCache>
                <c:ptCount val="1"/>
                <c:pt idx="0">
                  <c:v>30/60 kg N</c:v>
                </c:pt>
              </c:strCache>
            </c:strRef>
          </c:tx>
          <c:spPr>
            <a:gradFill>
              <a:gsLst>
                <a:gs pos="0">
                  <a:schemeClr val="bg1"/>
                </a:gs>
                <a:gs pos="32000">
                  <a:schemeClr val="accent1">
                    <a:lumMod val="20000"/>
                    <a:lumOff val="80000"/>
                  </a:schemeClr>
                </a:gs>
                <a:gs pos="66000">
                  <a:schemeClr val="accent1">
                    <a:lumMod val="40000"/>
                    <a:lumOff val="60000"/>
                  </a:schemeClr>
                </a:gs>
                <a:gs pos="100000">
                  <a:schemeClr val="accent1">
                    <a:lumMod val="60000"/>
                    <a:lumOff val="40000"/>
                  </a:schemeClr>
                </a:gs>
              </a:gsLst>
              <a:lin ang="10800000" scaled="1"/>
            </a:gradFill>
            <a:ln>
              <a:noFill/>
            </a:ln>
            <a:effectLst/>
          </c:spPr>
          <c:invertIfNegative val="0"/>
          <c:dLbls>
            <c:dLbl>
              <c:idx val="0"/>
              <c:layout>
                <c:manualLayout>
                  <c:x val="-5.8901595333490087E-17"/>
                  <c:y val="0"/>
                </c:manualLayout>
              </c:layout>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extLst>
                <c:ext xmlns:c15="http://schemas.microsoft.com/office/drawing/2012/chart" uri="{CE6537A1-D6FC-4f65-9D91-7224C49458BB}">
                  <c15:layout>
                    <c:manualLayout>
                      <c:w val="9.4064320273218857E-2"/>
                      <c:h val="0.1274439603562797"/>
                    </c:manualLayout>
                  </c15:layout>
                </c:ext>
                <c:ext xmlns:c16="http://schemas.microsoft.com/office/drawing/2014/chart" uri="{C3380CC4-5D6E-409C-BE32-E72D297353CC}">
                  <c16:uniqueId val="{0000001E-C148-4730-8C81-F6FE43BD88B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Diagramm!$C$19:$E$19</c:f>
              <c:numCache>
                <c:formatCode>General</c:formatCode>
                <c:ptCount val="3"/>
                <c:pt idx="0">
                  <c:v>62</c:v>
                </c:pt>
              </c:numCache>
            </c:numRef>
          </c:val>
          <c:extLst>
            <c:ext xmlns:c16="http://schemas.microsoft.com/office/drawing/2014/chart" uri="{C3380CC4-5D6E-409C-BE32-E72D297353CC}">
              <c16:uniqueId val="{0000001F-C148-4730-8C81-F6FE43BD88B8}"/>
            </c:ext>
          </c:extLst>
        </c:ser>
        <c:ser>
          <c:idx val="16"/>
          <c:order val="17"/>
          <c:tx>
            <c:strRef>
              <c:f>Diagramm!$B$20</c:f>
              <c:strCache>
                <c:ptCount val="1"/>
                <c:pt idx="0">
                  <c:v>Sperrfrist (N) 02.10. - 31.01.</c:v>
                </c:pt>
              </c:strCache>
            </c:strRef>
          </c:tx>
          <c:spPr>
            <a:pattFill prst="ltUpDiag">
              <a:fgClr>
                <a:srgbClr val="FF0000"/>
              </a:fgClr>
              <a:bgClr>
                <a:schemeClr val="bg1"/>
              </a:bgClr>
            </a:pattFill>
            <a:ln>
              <a:noFill/>
            </a:ln>
            <a:effectLst/>
          </c:spPr>
          <c:invertIfNegative val="0"/>
          <c:dLbls>
            <c:dLbl>
              <c:idx val="0"/>
              <c:spPr>
                <a:solidFill>
                  <a:schemeClr val="bg1">
                    <a:alpha val="60000"/>
                  </a:schemeClr>
                </a:solid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C148-4730-8C81-F6FE43BD88B8}"/>
                </c:ext>
              </c:extLst>
            </c:dLbl>
            <c:spPr>
              <a:solidFill>
                <a:schemeClr val="bg1">
                  <a:alpha val="85000"/>
                </a:schemeClr>
              </a:solidFill>
              <a:ln>
                <a:no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eparator>, </c:separator>
            <c:showLeaderLines val="0"/>
            <c:extLst>
              <c:ext xmlns:c15="http://schemas.microsoft.com/office/drawing/2012/chart" uri="{CE6537A1-D6FC-4f65-9D91-7224C49458BB}">
                <c15:showLeaderLines val="0"/>
              </c:ext>
            </c:extLst>
          </c:dLbls>
          <c:val>
            <c:numRef>
              <c:f>Diagramm!$C$20:$E$20</c:f>
              <c:numCache>
                <c:formatCode>General</c:formatCode>
                <c:ptCount val="3"/>
                <c:pt idx="0">
                  <c:v>121</c:v>
                </c:pt>
              </c:numCache>
            </c:numRef>
          </c:val>
          <c:extLst>
            <c:ext xmlns:c16="http://schemas.microsoft.com/office/drawing/2014/chart" uri="{C3380CC4-5D6E-409C-BE32-E72D297353CC}">
              <c16:uniqueId val="{00000021-C148-4730-8C81-F6FE43BD88B8}"/>
            </c:ext>
          </c:extLst>
        </c:ser>
        <c:ser>
          <c:idx val="17"/>
          <c:order val="18"/>
          <c:tx>
            <c:strRef>
              <c:f>Diagramm!$B$21</c:f>
              <c:strCache>
                <c:ptCount val="1"/>
                <c:pt idx="0">
                  <c:v>DBE-HF</c:v>
                </c:pt>
              </c:strCache>
            </c:strRef>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Diagramm!$C$21:$E$21</c:f>
              <c:numCache>
                <c:formatCode>General</c:formatCode>
                <c:ptCount val="3"/>
                <c:pt idx="0">
                  <c:v>60</c:v>
                </c:pt>
              </c:numCache>
            </c:numRef>
          </c:val>
          <c:extLst>
            <c:ext xmlns:c16="http://schemas.microsoft.com/office/drawing/2014/chart" uri="{C3380CC4-5D6E-409C-BE32-E72D297353CC}">
              <c16:uniqueId val="{00000022-C148-4730-8C81-F6FE43BD88B8}"/>
            </c:ext>
          </c:extLst>
        </c:ser>
        <c:dLbls>
          <c:showLegendKey val="0"/>
          <c:showVal val="0"/>
          <c:showCatName val="0"/>
          <c:showSerName val="0"/>
          <c:showPercent val="0"/>
          <c:showBubbleSize val="0"/>
        </c:dLbls>
        <c:gapWidth val="125"/>
        <c:overlap val="100"/>
        <c:axId val="439496976"/>
        <c:axId val="439497304"/>
      </c:barChart>
      <c:catAx>
        <c:axId val="439496976"/>
        <c:scaling>
          <c:orientation val="minMax"/>
        </c:scaling>
        <c:delete val="1"/>
        <c:axPos val="l"/>
        <c:numFmt formatCode="General" sourceLinked="1"/>
        <c:majorTickMark val="out"/>
        <c:minorTickMark val="none"/>
        <c:tickLblPos val="nextTo"/>
        <c:crossAx val="439497304"/>
        <c:crosses val="autoZero"/>
        <c:auto val="1"/>
        <c:lblAlgn val="ctr"/>
        <c:lblOffset val="100"/>
        <c:tickMarkSkip val="1"/>
        <c:noMultiLvlLbl val="0"/>
      </c:catAx>
      <c:valAx>
        <c:axId val="439497304"/>
        <c:scaling>
          <c:orientation val="minMax"/>
          <c:max val="300"/>
          <c:min val="1"/>
        </c:scaling>
        <c:delete val="0"/>
        <c:axPos val="b"/>
        <c:majorGridlines>
          <c:spPr>
            <a:ln w="15875" cap="flat" cmpd="sng" algn="ctr">
              <a:solidFill>
                <a:schemeClr val="bg1">
                  <a:lumMod val="75000"/>
                </a:schemeClr>
              </a:solidFill>
              <a:round/>
            </a:ln>
            <a:effectLst/>
          </c:spPr>
        </c:majorGridlines>
        <c:numFmt formatCode="\1\7;\1\8" sourceLinked="0"/>
        <c:majorTickMark val="out"/>
        <c:minorTickMark val="none"/>
        <c:tickLblPos val="none"/>
        <c:spPr>
          <a:noFill/>
          <a:ln w="19050">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9496976"/>
        <c:crosses val="autoZero"/>
        <c:crossBetween val="between"/>
        <c:majorUnit val="30.5"/>
      </c:valAx>
      <c:spPr>
        <a:noFill/>
        <a:ln w="15875">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22" fmlaLink="$I$23" fmlaRange="Rohdaten!$A$14:$A$17" noThreeD="1" sel="2" val="0"/>
</file>

<file path=xl/ctrlProps/ctrlProp2.xml><?xml version="1.0" encoding="utf-8"?>
<formControlPr xmlns="http://schemas.microsoft.com/office/spreadsheetml/2009/9/main" objectType="Drop" dropLines="6" dropStyle="combo" dx="22" fmlaLink="$J$23" fmlaRange="Rohdaten!$A$19:$A$24" noThreeD="1" sel="2" val="0"/>
</file>

<file path=xl/ctrlProps/ctrlProp3.xml><?xml version="1.0" encoding="utf-8"?>
<formControlPr xmlns="http://schemas.microsoft.com/office/spreadsheetml/2009/9/main" objectType="Drop" dropLines="5" dropStyle="combo" dx="22" fmlaLink="$J$24" fmlaRange="Rohdaten!$A$26:$A$30" noThreeD="1" sel="1" val="0"/>
</file>

<file path=xl/ctrlProps/ctrlProp4.xml><?xml version="1.0" encoding="utf-8"?>
<formControlPr xmlns="http://schemas.microsoft.com/office/spreadsheetml/2009/9/main" objectType="Drop" dropStyle="combo" dx="22" fmlaLink="$K$23" fmlaRange="Rohdaten!$A$32:$A$39" noThreeD="1" sel="3" val="0"/>
</file>

<file path=xl/ctrlProps/ctrlProp5.xml><?xml version="1.0" encoding="utf-8"?>
<formControlPr xmlns="http://schemas.microsoft.com/office/spreadsheetml/2009/9/main" objectType="Drop" dropLines="4" dropStyle="combo" dx="22" fmlaLink="$K$22" fmlaRange="Rohdaten!$A$8:$A$11" noThreeD="1" sel="2" val="0"/>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345649</xdr:colOff>
      <xdr:row>14</xdr:row>
      <xdr:rowOff>205955</xdr:rowOff>
    </xdr:from>
    <xdr:to>
      <xdr:col>5</xdr:col>
      <xdr:colOff>1486744</xdr:colOff>
      <xdr:row>16</xdr:row>
      <xdr:rowOff>3114677</xdr:rowOff>
    </xdr:to>
    <xdr:graphicFrame macro="">
      <xdr:nvGraphicFramePr>
        <xdr:cNvPr id="12" name="Diagramm 5">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974168</xdr:colOff>
      <xdr:row>16</xdr:row>
      <xdr:rowOff>472189</xdr:rowOff>
    </xdr:from>
    <xdr:to>
      <xdr:col>4</xdr:col>
      <xdr:colOff>1266130</xdr:colOff>
      <xdr:row>16</xdr:row>
      <xdr:rowOff>2165165</xdr:rowOff>
    </xdr:to>
    <xdr:grpSp>
      <xdr:nvGrpSpPr>
        <xdr:cNvPr id="9" name="Gruppieren 8">
          <a:extLst>
            <a:ext uri="{FF2B5EF4-FFF2-40B4-BE49-F238E27FC236}">
              <a16:creationId xmlns:a16="http://schemas.microsoft.com/office/drawing/2014/main" id="{00000000-0008-0000-0000-000009000000}"/>
            </a:ext>
          </a:extLst>
        </xdr:cNvPr>
        <xdr:cNvGrpSpPr/>
      </xdr:nvGrpSpPr>
      <xdr:grpSpPr>
        <a:xfrm>
          <a:off x="2012393" y="3967864"/>
          <a:ext cx="4892537" cy="1692976"/>
          <a:chOff x="8408116" y="4236740"/>
          <a:chExt cx="4526834" cy="1888842"/>
        </a:xfrm>
      </xdr:grpSpPr>
      <xdr:sp macro="" textlink="">
        <xdr:nvSpPr>
          <xdr:cNvPr id="4" name="Textfeld 3">
            <a:extLst>
              <a:ext uri="{FF2B5EF4-FFF2-40B4-BE49-F238E27FC236}">
                <a16:creationId xmlns:a16="http://schemas.microsoft.com/office/drawing/2014/main" id="{00000000-0008-0000-0000-000004000000}"/>
              </a:ext>
            </a:extLst>
          </xdr:cNvPr>
          <xdr:cNvSpPr txBox="1"/>
        </xdr:nvSpPr>
        <xdr:spPr>
          <a:xfrm>
            <a:off x="8912402" y="4236740"/>
            <a:ext cx="3387522" cy="228773"/>
          </a:xfrm>
          <a:prstGeom prst="rect">
            <a:avLst/>
          </a:prstGeom>
          <a:solidFill>
            <a:schemeClr val="lt1"/>
          </a:solid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Anbau/Früchte</a:t>
            </a:r>
            <a:r>
              <a:rPr lang="de-DE" sz="1100" b="1" baseline="0"/>
              <a:t> vom Sommer 2026 bis Frühjahr 2027</a:t>
            </a:r>
            <a:endParaRPr lang="de-DE" sz="1100" b="1"/>
          </a:p>
        </xdr:txBody>
      </xdr:sp>
      <xdr:sp macro="" textlink="">
        <xdr:nvSpPr>
          <xdr:cNvPr id="5" name="Textfeld 4">
            <a:extLst>
              <a:ext uri="{FF2B5EF4-FFF2-40B4-BE49-F238E27FC236}">
                <a16:creationId xmlns:a16="http://schemas.microsoft.com/office/drawing/2014/main" id="{00000000-0008-0000-0000-000005000000}"/>
              </a:ext>
            </a:extLst>
          </xdr:cNvPr>
          <xdr:cNvSpPr txBox="1"/>
        </xdr:nvSpPr>
        <xdr:spPr>
          <a:xfrm>
            <a:off x="8429625" y="5032952"/>
            <a:ext cx="4505325" cy="238125"/>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Organische Düngung mit Kompost/Stallmist</a:t>
            </a:r>
            <a:r>
              <a:rPr lang="de-DE" sz="1100" b="1" baseline="0"/>
              <a:t> </a:t>
            </a:r>
            <a:r>
              <a:rPr lang="de-DE" sz="800" baseline="0"/>
              <a:t>(von Huf- und Klauentieren) </a:t>
            </a:r>
            <a:r>
              <a:rPr lang="de-DE" sz="1100" b="1" baseline="0"/>
              <a:t>möglich</a:t>
            </a:r>
            <a:endParaRPr lang="de-DE" sz="1100" b="1"/>
          </a:p>
        </xdr:txBody>
      </xdr:sp>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8408116" y="5841849"/>
            <a:ext cx="4272129" cy="28373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DE" sz="1100" b="1"/>
              <a:t>Sonstige</a:t>
            </a:r>
            <a:r>
              <a:rPr lang="de-DE" sz="1100" b="1" baseline="0"/>
              <a:t> organische </a:t>
            </a:r>
            <a:r>
              <a:rPr lang="de-DE" sz="1100" b="1"/>
              <a:t>Düngung möglich (Gülle, Gärrest, ...) + min. N-Düngung</a:t>
            </a:r>
            <a:endParaRPr lang="de-DE" sz="800" b="1"/>
          </a:p>
        </xdr:txBody>
      </xdr:sp>
    </xdr:grpSp>
    <xdr:clientData/>
  </xdr:twoCellAnchor>
  <mc:AlternateContent xmlns:mc="http://schemas.openxmlformats.org/markup-compatibility/2006">
    <mc:Choice xmlns:a14="http://schemas.microsoft.com/office/drawing/2010/main" Requires="a14">
      <xdr:twoCellAnchor editAs="oneCell">
        <xdr:from>
          <xdr:col>1</xdr:col>
          <xdr:colOff>19050</xdr:colOff>
          <xdr:row>7</xdr:row>
          <xdr:rowOff>19050</xdr:rowOff>
        </xdr:from>
        <xdr:to>
          <xdr:col>1</xdr:col>
          <xdr:colOff>1647825</xdr:colOff>
          <xdr:row>7</xdr:row>
          <xdr:rowOff>247650</xdr:rowOff>
        </xdr:to>
        <xdr:sp macro="" textlink="">
          <xdr:nvSpPr>
            <xdr:cNvPr id="1027" name="Drop Dow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7</xdr:row>
          <xdr:rowOff>19050</xdr:rowOff>
        </xdr:from>
        <xdr:to>
          <xdr:col>3</xdr:col>
          <xdr:colOff>1628775</xdr:colOff>
          <xdr:row>8</xdr:row>
          <xdr:rowOff>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9</xdr:row>
          <xdr:rowOff>19050</xdr:rowOff>
        </xdr:from>
        <xdr:to>
          <xdr:col>4</xdr:col>
          <xdr:colOff>0</xdr:colOff>
          <xdr:row>9</xdr:row>
          <xdr:rowOff>257175</xdr:rowOff>
        </xdr:to>
        <xdr:sp macro="" textlink="">
          <xdr:nvSpPr>
            <xdr:cNvPr id="1031" name="Drop Dow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7</xdr:row>
          <xdr:rowOff>19050</xdr:rowOff>
        </xdr:from>
        <xdr:to>
          <xdr:col>11</xdr:col>
          <xdr:colOff>9525</xdr:colOff>
          <xdr:row>7</xdr:row>
          <xdr:rowOff>257175</xdr:rowOff>
        </xdr:to>
        <xdr:sp macro="" textlink="">
          <xdr:nvSpPr>
            <xdr:cNvPr id="1032" name="Drop Dow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xdr:row>
          <xdr:rowOff>0</xdr:rowOff>
        </xdr:from>
        <xdr:to>
          <xdr:col>5</xdr:col>
          <xdr:colOff>266700</xdr:colOff>
          <xdr:row>5</xdr:row>
          <xdr:rowOff>19050</xdr:rowOff>
        </xdr:to>
        <xdr:sp macro="" textlink="">
          <xdr:nvSpPr>
            <xdr:cNvPr id="1037" name="Drop Dow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412750</xdr:colOff>
      <xdr:row>15</xdr:row>
      <xdr:rowOff>74084</xdr:rowOff>
    </xdr:from>
    <xdr:to>
      <xdr:col>5</xdr:col>
      <xdr:colOff>1471083</xdr:colOff>
      <xdr:row>16</xdr:row>
      <xdr:rowOff>3175000</xdr:rowOff>
    </xdr:to>
    <xdr:sp macro="" textlink="">
      <xdr:nvSpPr>
        <xdr:cNvPr id="7" name="Rechteck 6">
          <a:extLst>
            <a:ext uri="{FF2B5EF4-FFF2-40B4-BE49-F238E27FC236}">
              <a16:creationId xmlns:a16="http://schemas.microsoft.com/office/drawing/2014/main" id="{00000000-0008-0000-0000-000007000000}"/>
            </a:ext>
          </a:extLst>
        </xdr:cNvPr>
        <xdr:cNvSpPr/>
      </xdr:nvSpPr>
      <xdr:spPr>
        <a:xfrm>
          <a:off x="412750" y="3513667"/>
          <a:ext cx="7884583" cy="3365500"/>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11</xdr:col>
      <xdr:colOff>59903</xdr:colOff>
      <xdr:row>0</xdr:row>
      <xdr:rowOff>16297</xdr:rowOff>
    </xdr:from>
    <xdr:to>
      <xdr:col>18</xdr:col>
      <xdr:colOff>19050</xdr:colOff>
      <xdr:row>9</xdr:row>
      <xdr:rowOff>0</xdr:rowOff>
    </xdr:to>
    <xdr:sp macro="" textlink="">
      <xdr:nvSpPr>
        <xdr:cNvPr id="8" name="Textfeld 7">
          <a:extLst>
            <a:ext uri="{FF2B5EF4-FFF2-40B4-BE49-F238E27FC236}">
              <a16:creationId xmlns:a16="http://schemas.microsoft.com/office/drawing/2014/main" id="{00000000-0008-0000-0000-000008000000}"/>
            </a:ext>
          </a:extLst>
        </xdr:cNvPr>
        <xdr:cNvSpPr txBox="1"/>
      </xdr:nvSpPr>
      <xdr:spPr>
        <a:xfrm>
          <a:off x="8641928" y="16297"/>
          <a:ext cx="5445547" cy="20030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Übersicht Abkürzungen</a:t>
          </a:r>
          <a:endParaRPr lang="de-DE" sz="1100"/>
        </a:p>
        <a:p>
          <a:r>
            <a:rPr lang="de-DE" sz="1100"/>
            <a:t>30/60 (kg N)	30 kg NH</a:t>
          </a:r>
          <a:r>
            <a:rPr lang="de-DE" sz="1100" baseline="-25000"/>
            <a:t>4</a:t>
          </a:r>
          <a:r>
            <a:rPr lang="de-DE" sz="1100"/>
            <a:t>-N/ha bzw. 60 kg N</a:t>
          </a:r>
          <a:r>
            <a:rPr lang="de-DE" sz="1100" baseline="-25000"/>
            <a:t>gesamt</a:t>
          </a:r>
          <a:r>
            <a:rPr lang="de-DE" sz="1100"/>
            <a:t>/ha</a:t>
          </a:r>
        </a:p>
        <a:p>
          <a:r>
            <a:rPr lang="de-DE" sz="1100"/>
            <a:t>DBE	Düngebedarfsermittlung</a:t>
          </a:r>
        </a:p>
        <a:p>
          <a:r>
            <a:rPr lang="de-DE" sz="1100"/>
            <a:t>FF	mehrjähriger Feldfutterbau</a:t>
          </a:r>
        </a:p>
        <a:p>
          <a:r>
            <a:rPr lang="de-DE" sz="1100"/>
            <a:t>GL	Grünland</a:t>
          </a:r>
        </a:p>
        <a:p>
          <a:r>
            <a:rPr lang="de-DE" sz="1100"/>
            <a:t>HF	Hauptfrucht			</a:t>
          </a:r>
        </a:p>
        <a:p>
          <a:r>
            <a:rPr lang="de-DE" sz="1100"/>
            <a:t>min.	mineralisch</a:t>
          </a:r>
        </a:p>
        <a:p>
          <a:r>
            <a:rPr lang="de-DE" sz="1100"/>
            <a:t>N	Stickstoff</a:t>
          </a:r>
        </a:p>
        <a:p>
          <a:r>
            <a:rPr lang="de-DE" sz="1100"/>
            <a:t>n.	nach</a:t>
          </a:r>
        </a:p>
        <a:p>
          <a:r>
            <a:rPr lang="de-DE" sz="1100"/>
            <a:t>P	Phosphat</a:t>
          </a:r>
        </a:p>
        <a:p>
          <a:r>
            <a:rPr lang="de-DE" sz="1100"/>
            <a:t>VF	Vorfrucht</a:t>
          </a:r>
        </a:p>
      </xdr:txBody>
    </xdr:sp>
    <xdr:clientData/>
  </xdr:twoCellAnchor>
  <xdr:twoCellAnchor>
    <xdr:from>
      <xdr:col>11</xdr:col>
      <xdr:colOff>58842</xdr:colOff>
      <xdr:row>8</xdr:row>
      <xdr:rowOff>247649</xdr:rowOff>
    </xdr:from>
    <xdr:to>
      <xdr:col>18</xdr:col>
      <xdr:colOff>19050</xdr:colOff>
      <xdr:row>16</xdr:row>
      <xdr:rowOff>3177540</xdr:rowOff>
    </xdr:to>
    <xdr:sp macro="" textlink="">
      <xdr:nvSpPr>
        <xdr:cNvPr id="10" name="Textfeld 9">
          <a:extLst>
            <a:ext uri="{FF2B5EF4-FFF2-40B4-BE49-F238E27FC236}">
              <a16:creationId xmlns:a16="http://schemas.microsoft.com/office/drawing/2014/main" id="{00000000-0008-0000-0000-00000A000000}"/>
            </a:ext>
          </a:extLst>
        </xdr:cNvPr>
        <xdr:cNvSpPr txBox="1"/>
      </xdr:nvSpPr>
      <xdr:spPr>
        <a:xfrm>
          <a:off x="8882802" y="1985009"/>
          <a:ext cx="5606628" cy="48196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Aft>
              <a:spcPts val="200"/>
            </a:spcAft>
          </a:pPr>
          <a:r>
            <a:rPr lang="de-DE" sz="1100">
              <a:solidFill>
                <a:schemeClr val="dk1"/>
              </a:solidFill>
              <a:effectLst/>
              <a:latin typeface="+mn-lt"/>
              <a:ea typeface="+mn-ea"/>
              <a:cs typeface="+mn-cs"/>
            </a:rPr>
            <a:t>Die Düngung muss so aufgebracht werden, dass die Nährstoffe von den Kulturen aufgenommen werden können. </a:t>
          </a:r>
        </a:p>
        <a:p>
          <a:pPr>
            <a:spcAft>
              <a:spcPts val="200"/>
            </a:spcAft>
          </a:pPr>
          <a:r>
            <a:rPr lang="de-DE" sz="1100" b="1">
              <a:solidFill>
                <a:schemeClr val="dk1"/>
              </a:solidFill>
              <a:effectLst/>
              <a:latin typeface="+mn-lt"/>
              <a:ea typeface="+mn-ea"/>
              <a:cs typeface="+mn-cs"/>
            </a:rPr>
            <a:t>Sperrfrist (N): </a:t>
          </a:r>
          <a:r>
            <a:rPr lang="de-DE" sz="1100">
              <a:solidFill>
                <a:schemeClr val="dk1"/>
              </a:solidFill>
              <a:effectLst/>
              <a:latin typeface="+mn-lt"/>
              <a:ea typeface="+mn-ea"/>
              <a:cs typeface="+mn-cs"/>
            </a:rPr>
            <a:t>Zeitraum </a:t>
          </a:r>
          <a:r>
            <a:rPr lang="de-DE" sz="1100" b="1">
              <a:solidFill>
                <a:schemeClr val="dk1"/>
              </a:solidFill>
              <a:effectLst/>
              <a:latin typeface="+mn-lt"/>
              <a:ea typeface="+mn-ea"/>
              <a:cs typeface="+mn-cs"/>
            </a:rPr>
            <a:t>inklusive</a:t>
          </a:r>
          <a:r>
            <a:rPr lang="de-DE" sz="1100">
              <a:solidFill>
                <a:schemeClr val="dk1"/>
              </a:solidFill>
              <a:effectLst/>
              <a:latin typeface="+mn-lt"/>
              <a:ea typeface="+mn-ea"/>
              <a:cs typeface="+mn-cs"/>
            </a:rPr>
            <a:t> genannter Tage</a:t>
          </a:r>
        </a:p>
        <a:p>
          <a:pPr>
            <a:spcAft>
              <a:spcPts val="200"/>
            </a:spcAft>
          </a:pPr>
          <a:r>
            <a:rPr lang="de-DE" sz="1100" b="1">
              <a:solidFill>
                <a:schemeClr val="dk1"/>
              </a:solidFill>
              <a:effectLst/>
              <a:latin typeface="+mn-lt"/>
              <a:ea typeface="+mn-ea"/>
              <a:cs typeface="+mn-cs"/>
            </a:rPr>
            <a:t>Sperrfrist P</a:t>
          </a:r>
          <a:r>
            <a:rPr lang="de-DE" sz="1100">
              <a:solidFill>
                <a:schemeClr val="dk1"/>
              </a:solidFill>
              <a:effectLst/>
              <a:latin typeface="+mn-lt"/>
              <a:ea typeface="+mn-ea"/>
              <a:cs typeface="+mn-cs"/>
            </a:rPr>
            <a:t>: 01.12. - 15.01. (inkl. genannter Tage)</a:t>
          </a:r>
        </a:p>
        <a:p>
          <a:pPr>
            <a:spcAft>
              <a:spcPts val="200"/>
            </a:spcAft>
          </a:pPr>
          <a:r>
            <a:rPr lang="de-DE" sz="1100">
              <a:solidFill>
                <a:schemeClr val="dk1"/>
              </a:solidFill>
              <a:effectLst/>
              <a:latin typeface="+mn-lt"/>
              <a:ea typeface="+mn-ea"/>
              <a:cs typeface="+mn-cs"/>
            </a:rPr>
            <a:t>DBE-HF </a:t>
          </a:r>
          <a:r>
            <a:rPr lang="de-DE" sz="1100" b="1">
              <a:solidFill>
                <a:schemeClr val="dk1"/>
              </a:solidFill>
              <a:effectLst/>
              <a:latin typeface="+mn-lt"/>
              <a:ea typeface="+mn-ea"/>
              <a:cs typeface="+mn-cs"/>
            </a:rPr>
            <a:t>(nicht Feb.)</a:t>
          </a:r>
          <a:r>
            <a:rPr lang="de-DE" sz="1100">
              <a:solidFill>
                <a:schemeClr val="dk1"/>
              </a:solidFill>
              <a:effectLst/>
              <a:latin typeface="+mn-lt"/>
              <a:ea typeface="+mn-ea"/>
              <a:cs typeface="+mn-cs"/>
            </a:rPr>
            <a:t>: Eine Aufbringung der genannten Dünger darf zu Mais/Hirse frühestens ab 15.03. erfolgen (bzw. ab 01.03. bei Zugabe von Nitrifkationshemmern).</a:t>
          </a:r>
        </a:p>
        <a:p>
          <a:pPr>
            <a:spcAft>
              <a:spcPts val="200"/>
            </a:spcAft>
          </a:pPr>
          <a:r>
            <a:rPr lang="de-DE" sz="1100">
              <a:solidFill>
                <a:schemeClr val="dk1"/>
              </a:solidFill>
              <a:effectLst/>
              <a:latin typeface="+mn-lt"/>
              <a:ea typeface="+mn-ea"/>
              <a:cs typeface="+mn-cs"/>
            </a:rPr>
            <a:t>Bei Aussaat als </a:t>
          </a:r>
          <a:r>
            <a:rPr lang="de-DE" sz="1100" b="1">
              <a:solidFill>
                <a:schemeClr val="dk1"/>
              </a:solidFill>
              <a:effectLst/>
              <a:latin typeface="+mn-lt"/>
              <a:ea typeface="+mn-ea"/>
              <a:cs typeface="+mn-cs"/>
            </a:rPr>
            <a:t>Untersaat</a:t>
          </a:r>
          <a:r>
            <a:rPr lang="de-DE" sz="1100">
              <a:solidFill>
                <a:schemeClr val="dk1"/>
              </a:solidFill>
              <a:effectLst/>
              <a:latin typeface="+mn-lt"/>
              <a:ea typeface="+mn-ea"/>
              <a:cs typeface="+mn-cs"/>
            </a:rPr>
            <a:t> zählt der Erntezeitpunkt der Deckfrucht als Saattermin.</a:t>
          </a:r>
        </a:p>
        <a:p>
          <a:pPr>
            <a:spcAft>
              <a:spcPts val="200"/>
            </a:spcAft>
          </a:pPr>
          <a:r>
            <a:rPr lang="de-DE" sz="1100" b="1">
              <a:solidFill>
                <a:schemeClr val="dk1"/>
              </a:solidFill>
              <a:effectLst/>
              <a:latin typeface="+mn-lt"/>
              <a:ea typeface="+mn-ea"/>
              <a:cs typeface="+mn-cs"/>
            </a:rPr>
            <a:t>Zwischenfrüchte </a:t>
          </a:r>
          <a:r>
            <a:rPr lang="de-DE" sz="1100">
              <a:solidFill>
                <a:schemeClr val="dk1"/>
              </a:solidFill>
              <a:effectLst/>
              <a:latin typeface="+mn-lt"/>
              <a:ea typeface="+mn-ea"/>
              <a:cs typeface="+mn-cs"/>
            </a:rPr>
            <a:t>mit einem Leguminosenanteil &gt; 75 % werden als Leguminosen betrachtet. Bei geringeren Anteilen ist Nichtleguminose einzugeben. </a:t>
          </a:r>
          <a:r>
            <a:rPr lang="de-DE" sz="1100" b="1">
              <a:solidFill>
                <a:schemeClr val="dk1"/>
              </a:solidFill>
              <a:effectLst/>
              <a:latin typeface="+mn-lt"/>
              <a:ea typeface="+mn-ea"/>
              <a:cs typeface="+mn-cs"/>
            </a:rPr>
            <a:t>Mehrjähriger Feldfutterbau u. Zweitfruchtgemenge </a:t>
          </a:r>
          <a:r>
            <a:rPr lang="de-DE" sz="1100">
              <a:solidFill>
                <a:schemeClr val="dk1"/>
              </a:solidFill>
              <a:effectLst/>
              <a:latin typeface="+mn-lt"/>
              <a:ea typeface="+mn-ea"/>
              <a:cs typeface="+mn-cs"/>
            </a:rPr>
            <a:t>&gt; 70 % Leguminosenanteil haben keinen Stickstoffdüngebedarf u. dürfen nicht mit Stickstoff gedüngt werden. Bei </a:t>
          </a:r>
          <a:r>
            <a:rPr lang="de-DE" sz="1100" b="1">
              <a:solidFill>
                <a:schemeClr val="dk1"/>
              </a:solidFill>
              <a:effectLst/>
              <a:latin typeface="+mn-lt"/>
              <a:ea typeface="+mn-ea"/>
              <a:cs typeface="+mn-cs"/>
            </a:rPr>
            <a:t>weiteren Hauptfruchtgemengen </a:t>
          </a:r>
          <a:r>
            <a:rPr lang="de-DE" sz="1100">
              <a:solidFill>
                <a:schemeClr val="dk1"/>
              </a:solidFill>
              <a:effectLst/>
              <a:latin typeface="+mn-lt"/>
              <a:ea typeface="+mn-ea"/>
              <a:cs typeface="+mn-cs"/>
            </a:rPr>
            <a:t>ist der größte Gemengeanteil entscheidend. Für Zwischenfrüchte ist keine DBE erforderlich.</a:t>
          </a:r>
        </a:p>
        <a:p>
          <a:pPr>
            <a:spcAft>
              <a:spcPts val="200"/>
            </a:spcAft>
          </a:pPr>
          <a:r>
            <a:rPr lang="de-DE" sz="1100">
              <a:solidFill>
                <a:schemeClr val="dk1"/>
              </a:solidFill>
              <a:effectLst/>
              <a:latin typeface="+mn-lt"/>
              <a:ea typeface="+mn-ea"/>
              <a:cs typeface="+mn-cs"/>
            </a:rPr>
            <a:t>Für </a:t>
          </a:r>
          <a:r>
            <a:rPr lang="de-DE" sz="1100" b="1">
              <a:solidFill>
                <a:schemeClr val="dk1"/>
              </a:solidFill>
              <a:effectLst/>
              <a:latin typeface="+mn-lt"/>
              <a:ea typeface="+mn-ea"/>
              <a:cs typeface="+mn-cs"/>
            </a:rPr>
            <a:t>Zweitfrüchte</a:t>
          </a:r>
          <a:r>
            <a:rPr lang="de-DE" sz="1100">
              <a:solidFill>
                <a:schemeClr val="dk1"/>
              </a:solidFill>
              <a:effectLst/>
              <a:latin typeface="+mn-lt"/>
              <a:ea typeface="+mn-ea"/>
              <a:cs typeface="+mn-cs"/>
            </a:rPr>
            <a:t> ist nur </a:t>
          </a:r>
          <a:r>
            <a:rPr lang="de-DE" sz="1100" u="sng">
              <a:solidFill>
                <a:schemeClr val="dk1"/>
              </a:solidFill>
              <a:effectLst/>
              <a:latin typeface="+mn-lt"/>
              <a:ea typeface="+mn-ea"/>
              <a:cs typeface="+mn-cs"/>
            </a:rPr>
            <a:t>eine</a:t>
          </a:r>
          <a:r>
            <a:rPr lang="de-DE" sz="1100">
              <a:solidFill>
                <a:schemeClr val="dk1"/>
              </a:solidFill>
              <a:effectLst/>
              <a:latin typeface="+mn-lt"/>
              <a:ea typeface="+mn-ea"/>
              <a:cs typeface="+mn-cs"/>
            </a:rPr>
            <a:t> DBE erforderlich, auch dann wenn eine Ernte im Herbst und im Frühjahr erfolgt. In diesem Fall sollten für eine bedarfsgerechte Düngung die Gaben aufgeteilt werden.</a:t>
          </a:r>
        </a:p>
        <a:p>
          <a:pPr>
            <a:spcAft>
              <a:spcPts val="200"/>
            </a:spcAft>
          </a:pPr>
          <a:r>
            <a:rPr lang="de-DE" sz="1100" b="1">
              <a:solidFill>
                <a:schemeClr val="dk1"/>
              </a:solidFill>
              <a:effectLst/>
              <a:latin typeface="+mn-lt"/>
              <a:ea typeface="+mn-ea"/>
              <a:cs typeface="+mn-cs"/>
            </a:rPr>
            <a:t>Endet der mehrjährige Feldfutterbau </a:t>
          </a:r>
          <a:r>
            <a:rPr lang="de-DE" sz="1100">
              <a:solidFill>
                <a:schemeClr val="dk1"/>
              </a:solidFill>
              <a:effectLst/>
              <a:latin typeface="+mn-lt"/>
              <a:ea typeface="+mn-ea"/>
              <a:cs typeface="+mn-cs"/>
            </a:rPr>
            <a:t>mit einer letzten Ernte im Frühjahr, mit anschließendem Umbruch, muss die Frühjahrsernte als Zweitfrucht erfasst werden. Saatdatum der Zweitfrucht ist das Datum des letzten Schnitts im Kalenderjahr 2026. Umbruchdatum der Hauptfrucht muss leer bleiben.</a:t>
          </a:r>
        </a:p>
        <a:p>
          <a:pPr>
            <a:spcAft>
              <a:spcPts val="200"/>
            </a:spcAft>
          </a:pPr>
          <a:r>
            <a:rPr lang="de-DE" sz="1100">
              <a:solidFill>
                <a:schemeClr val="dk1"/>
              </a:solidFill>
              <a:effectLst/>
              <a:latin typeface="+mn-lt"/>
              <a:ea typeface="+mn-ea"/>
              <a:cs typeface="+mn-cs"/>
            </a:rPr>
            <a:t>Bei </a:t>
          </a:r>
          <a:r>
            <a:rPr lang="de-DE" sz="1100" b="1">
              <a:solidFill>
                <a:schemeClr val="dk1"/>
              </a:solidFill>
              <a:effectLst/>
              <a:latin typeface="+mn-lt"/>
              <a:ea typeface="+mn-ea"/>
              <a:cs typeface="+mn-cs"/>
            </a:rPr>
            <a:t>mehrjährigem Feldfutterbau u. Grünland</a:t>
          </a:r>
          <a:r>
            <a:rPr lang="de-DE" sz="1100">
              <a:solidFill>
                <a:schemeClr val="dk1"/>
              </a:solidFill>
              <a:effectLst/>
              <a:latin typeface="+mn-lt"/>
              <a:ea typeface="+mn-ea"/>
              <a:cs typeface="+mn-cs"/>
            </a:rPr>
            <a:t> darf ab dem 01.09. bis Sperrfristbeginn maximal 80 kg Gesamtstickstoff je Hektar ausgebracht werden. Die Regelung 30/60 kg N/ha nach dem letzten Schnitt bleibt bestehen.</a:t>
          </a:r>
        </a:p>
        <a:p>
          <a:pPr>
            <a:spcAft>
              <a:spcPts val="200"/>
            </a:spcAft>
          </a:pPr>
          <a:r>
            <a:rPr lang="de-DE" sz="1100" b="1">
              <a:solidFill>
                <a:schemeClr val="dk1"/>
              </a:solidFill>
              <a:effectLst/>
              <a:latin typeface="+mn-lt"/>
              <a:ea typeface="+mn-ea"/>
              <a:cs typeface="+mn-cs"/>
            </a:rPr>
            <a:t>Die Regelungen</a:t>
          </a:r>
          <a:r>
            <a:rPr lang="de-DE" sz="1100">
              <a:solidFill>
                <a:schemeClr val="dk1"/>
              </a:solidFill>
              <a:effectLst/>
              <a:latin typeface="+mn-lt"/>
              <a:ea typeface="+mn-ea"/>
              <a:cs typeface="+mn-cs"/>
            </a:rPr>
            <a:t> Gemüse, Erdbeeren, Beerenobst, Heil- u. Gewürzpflanzen, Samenvermehrungen, mehrschnittiger Feldfutterbau, Zwischenfrucht vor W-Raps/Feldfutterbau u. Hopfen sind nicht enthalten.</a:t>
          </a:r>
        </a:p>
      </xdr:txBody>
    </xdr:sp>
    <xdr:clientData/>
  </xdr:twoCellAnchor>
  <xdr:twoCellAnchor>
    <xdr:from>
      <xdr:col>1</xdr:col>
      <xdr:colOff>57728</xdr:colOff>
      <xdr:row>16</xdr:row>
      <xdr:rowOff>2692015</xdr:rowOff>
    </xdr:from>
    <xdr:to>
      <xdr:col>1</xdr:col>
      <xdr:colOff>618645</xdr:colOff>
      <xdr:row>16</xdr:row>
      <xdr:rowOff>2977765</xdr:rowOff>
    </xdr:to>
    <xdr:sp macro="" textlink="">
      <xdr:nvSpPr>
        <xdr:cNvPr id="11" name="Textfeld 10">
          <a:extLst>
            <a:ext uri="{FF2B5EF4-FFF2-40B4-BE49-F238E27FC236}">
              <a16:creationId xmlns:a16="http://schemas.microsoft.com/office/drawing/2014/main" id="{00000000-0008-0000-0000-00000B000000}"/>
            </a:ext>
          </a:extLst>
        </xdr:cNvPr>
        <xdr:cNvSpPr txBox="1"/>
      </xdr:nvSpPr>
      <xdr:spPr>
        <a:xfrm>
          <a:off x="1096819" y="6441401"/>
          <a:ext cx="560917"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01.07.</a:t>
          </a:r>
        </a:p>
      </xdr:txBody>
    </xdr:sp>
    <xdr:clientData/>
  </xdr:twoCellAnchor>
  <xdr:twoCellAnchor>
    <xdr:from>
      <xdr:col>3</xdr:col>
      <xdr:colOff>145665</xdr:colOff>
      <xdr:row>16</xdr:row>
      <xdr:rowOff>2691438</xdr:rowOff>
    </xdr:from>
    <xdr:to>
      <xdr:col>3</xdr:col>
      <xdr:colOff>706582</xdr:colOff>
      <xdr:row>16</xdr:row>
      <xdr:rowOff>2977188</xdr:rowOff>
    </xdr:to>
    <xdr:sp macro="" textlink="">
      <xdr:nvSpPr>
        <xdr:cNvPr id="21" name="Textfeld 20">
          <a:extLst>
            <a:ext uri="{FF2B5EF4-FFF2-40B4-BE49-F238E27FC236}">
              <a16:creationId xmlns:a16="http://schemas.microsoft.com/office/drawing/2014/main" id="{00000000-0008-0000-0000-000015000000}"/>
            </a:ext>
          </a:extLst>
        </xdr:cNvPr>
        <xdr:cNvSpPr txBox="1"/>
      </xdr:nvSpPr>
      <xdr:spPr>
        <a:xfrm>
          <a:off x="4198120" y="6440824"/>
          <a:ext cx="560917"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01.11.</a:t>
          </a:r>
        </a:p>
      </xdr:txBody>
    </xdr:sp>
    <xdr:clientData/>
  </xdr:twoCellAnchor>
  <xdr:twoCellAnchor>
    <xdr:from>
      <xdr:col>1</xdr:col>
      <xdr:colOff>833967</xdr:colOff>
      <xdr:row>16</xdr:row>
      <xdr:rowOff>2688937</xdr:rowOff>
    </xdr:from>
    <xdr:to>
      <xdr:col>1</xdr:col>
      <xdr:colOff>1394884</xdr:colOff>
      <xdr:row>16</xdr:row>
      <xdr:rowOff>2974687</xdr:rowOff>
    </xdr:to>
    <xdr:sp macro="" textlink="">
      <xdr:nvSpPr>
        <xdr:cNvPr id="22" name="Textfeld 21">
          <a:extLst>
            <a:ext uri="{FF2B5EF4-FFF2-40B4-BE49-F238E27FC236}">
              <a16:creationId xmlns:a16="http://schemas.microsoft.com/office/drawing/2014/main" id="{00000000-0008-0000-0000-000016000000}"/>
            </a:ext>
          </a:extLst>
        </xdr:cNvPr>
        <xdr:cNvSpPr txBox="1"/>
      </xdr:nvSpPr>
      <xdr:spPr>
        <a:xfrm>
          <a:off x="1873058" y="6438323"/>
          <a:ext cx="560917"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01.08.</a:t>
          </a:r>
        </a:p>
      </xdr:txBody>
    </xdr:sp>
    <xdr:clientData/>
  </xdr:twoCellAnchor>
  <xdr:twoCellAnchor>
    <xdr:from>
      <xdr:col>2</xdr:col>
      <xdr:colOff>795867</xdr:colOff>
      <xdr:row>16</xdr:row>
      <xdr:rowOff>2694132</xdr:rowOff>
    </xdr:from>
    <xdr:to>
      <xdr:col>2</xdr:col>
      <xdr:colOff>1356784</xdr:colOff>
      <xdr:row>16</xdr:row>
      <xdr:rowOff>2979882</xdr:rowOff>
    </xdr:to>
    <xdr:sp macro="" textlink="">
      <xdr:nvSpPr>
        <xdr:cNvPr id="23" name="Textfeld 22">
          <a:extLst>
            <a:ext uri="{FF2B5EF4-FFF2-40B4-BE49-F238E27FC236}">
              <a16:creationId xmlns:a16="http://schemas.microsoft.com/office/drawing/2014/main" id="{00000000-0008-0000-0000-000017000000}"/>
            </a:ext>
          </a:extLst>
        </xdr:cNvPr>
        <xdr:cNvSpPr txBox="1"/>
      </xdr:nvSpPr>
      <xdr:spPr>
        <a:xfrm>
          <a:off x="3436890" y="6443518"/>
          <a:ext cx="560917"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01.10.</a:t>
          </a:r>
        </a:p>
      </xdr:txBody>
    </xdr:sp>
    <xdr:clientData/>
  </xdr:twoCellAnchor>
  <xdr:twoCellAnchor>
    <xdr:from>
      <xdr:col>1</xdr:col>
      <xdr:colOff>1596737</xdr:colOff>
      <xdr:row>16</xdr:row>
      <xdr:rowOff>2696440</xdr:rowOff>
    </xdr:from>
    <xdr:to>
      <xdr:col>2</xdr:col>
      <xdr:colOff>555722</xdr:colOff>
      <xdr:row>16</xdr:row>
      <xdr:rowOff>2982190</xdr:rowOff>
    </xdr:to>
    <xdr:sp macro="" textlink="">
      <xdr:nvSpPr>
        <xdr:cNvPr id="24" name="Textfeld 23">
          <a:extLst>
            <a:ext uri="{FF2B5EF4-FFF2-40B4-BE49-F238E27FC236}">
              <a16:creationId xmlns:a16="http://schemas.microsoft.com/office/drawing/2014/main" id="{00000000-0008-0000-0000-000018000000}"/>
            </a:ext>
          </a:extLst>
        </xdr:cNvPr>
        <xdr:cNvSpPr txBox="1"/>
      </xdr:nvSpPr>
      <xdr:spPr>
        <a:xfrm>
          <a:off x="2635828" y="6445826"/>
          <a:ext cx="560917"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01.09.</a:t>
          </a:r>
        </a:p>
      </xdr:txBody>
    </xdr:sp>
    <xdr:clientData/>
  </xdr:twoCellAnchor>
  <xdr:twoCellAnchor>
    <xdr:from>
      <xdr:col>4</xdr:col>
      <xdr:colOff>158751</xdr:colOff>
      <xdr:row>16</xdr:row>
      <xdr:rowOff>2691054</xdr:rowOff>
    </xdr:from>
    <xdr:to>
      <xdr:col>4</xdr:col>
      <xdr:colOff>719668</xdr:colOff>
      <xdr:row>16</xdr:row>
      <xdr:rowOff>2976804</xdr:rowOff>
    </xdr:to>
    <xdr:sp macro="" textlink="">
      <xdr:nvSpPr>
        <xdr:cNvPr id="25" name="Textfeld 24">
          <a:extLst>
            <a:ext uri="{FF2B5EF4-FFF2-40B4-BE49-F238E27FC236}">
              <a16:creationId xmlns:a16="http://schemas.microsoft.com/office/drawing/2014/main" id="{00000000-0008-0000-0000-000019000000}"/>
            </a:ext>
          </a:extLst>
        </xdr:cNvPr>
        <xdr:cNvSpPr txBox="1"/>
      </xdr:nvSpPr>
      <xdr:spPr>
        <a:xfrm>
          <a:off x="5804478" y="6440440"/>
          <a:ext cx="560917"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01.01.</a:t>
          </a:r>
        </a:p>
      </xdr:txBody>
    </xdr:sp>
    <xdr:clientData/>
  </xdr:twoCellAnchor>
  <xdr:twoCellAnchor>
    <xdr:from>
      <xdr:col>3</xdr:col>
      <xdr:colOff>952885</xdr:colOff>
      <xdr:row>16</xdr:row>
      <xdr:rowOff>2689513</xdr:rowOff>
    </xdr:from>
    <xdr:to>
      <xdr:col>3</xdr:col>
      <xdr:colOff>1513802</xdr:colOff>
      <xdr:row>16</xdr:row>
      <xdr:rowOff>2975263</xdr:rowOff>
    </xdr:to>
    <xdr:sp macro="" textlink="">
      <xdr:nvSpPr>
        <xdr:cNvPr id="26" name="Textfeld 25">
          <a:extLst>
            <a:ext uri="{FF2B5EF4-FFF2-40B4-BE49-F238E27FC236}">
              <a16:creationId xmlns:a16="http://schemas.microsoft.com/office/drawing/2014/main" id="{00000000-0008-0000-0000-00001A000000}"/>
            </a:ext>
          </a:extLst>
        </xdr:cNvPr>
        <xdr:cNvSpPr txBox="1"/>
      </xdr:nvSpPr>
      <xdr:spPr>
        <a:xfrm>
          <a:off x="5005340" y="6438899"/>
          <a:ext cx="560917"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01.12.</a:t>
          </a:r>
        </a:p>
      </xdr:txBody>
    </xdr:sp>
    <xdr:clientData/>
  </xdr:twoCellAnchor>
  <xdr:twoCellAnchor>
    <xdr:from>
      <xdr:col>5</xdr:col>
      <xdr:colOff>368300</xdr:colOff>
      <xdr:row>16</xdr:row>
      <xdr:rowOff>2693747</xdr:rowOff>
    </xdr:from>
    <xdr:to>
      <xdr:col>5</xdr:col>
      <xdr:colOff>929217</xdr:colOff>
      <xdr:row>16</xdr:row>
      <xdr:rowOff>2979497</xdr:rowOff>
    </xdr:to>
    <xdr:sp macro="" textlink="">
      <xdr:nvSpPr>
        <xdr:cNvPr id="27" name="Textfeld 26">
          <a:extLst>
            <a:ext uri="{FF2B5EF4-FFF2-40B4-BE49-F238E27FC236}">
              <a16:creationId xmlns:a16="http://schemas.microsoft.com/office/drawing/2014/main" id="{00000000-0008-0000-0000-00001B000000}"/>
            </a:ext>
          </a:extLst>
        </xdr:cNvPr>
        <xdr:cNvSpPr txBox="1"/>
      </xdr:nvSpPr>
      <xdr:spPr>
        <a:xfrm>
          <a:off x="7356186" y="6443133"/>
          <a:ext cx="560917"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01.03.</a:t>
          </a:r>
        </a:p>
      </xdr:txBody>
    </xdr:sp>
    <xdr:clientData/>
  </xdr:twoCellAnchor>
  <xdr:twoCellAnchor>
    <xdr:from>
      <xdr:col>4</xdr:col>
      <xdr:colOff>909398</xdr:colOff>
      <xdr:row>16</xdr:row>
      <xdr:rowOff>2696056</xdr:rowOff>
    </xdr:from>
    <xdr:to>
      <xdr:col>5</xdr:col>
      <xdr:colOff>126231</xdr:colOff>
      <xdr:row>16</xdr:row>
      <xdr:rowOff>2981806</xdr:rowOff>
    </xdr:to>
    <xdr:sp macro="" textlink="">
      <xdr:nvSpPr>
        <xdr:cNvPr id="28" name="Textfeld 27">
          <a:extLst>
            <a:ext uri="{FF2B5EF4-FFF2-40B4-BE49-F238E27FC236}">
              <a16:creationId xmlns:a16="http://schemas.microsoft.com/office/drawing/2014/main" id="{00000000-0008-0000-0000-00001C000000}"/>
            </a:ext>
          </a:extLst>
        </xdr:cNvPr>
        <xdr:cNvSpPr txBox="1"/>
      </xdr:nvSpPr>
      <xdr:spPr>
        <a:xfrm>
          <a:off x="6555125" y="6445442"/>
          <a:ext cx="558992"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01.02.</a:t>
          </a:r>
        </a:p>
      </xdr:txBody>
    </xdr:sp>
    <xdr:clientData/>
  </xdr:twoCellAnchor>
  <xdr:twoCellAnchor editAs="oneCell">
    <xdr:from>
      <xdr:col>0</xdr:col>
      <xdr:colOff>28575</xdr:colOff>
      <xdr:row>0</xdr:row>
      <xdr:rowOff>57150</xdr:rowOff>
    </xdr:from>
    <xdr:to>
      <xdr:col>1</xdr:col>
      <xdr:colOff>304595</xdr:colOff>
      <xdr:row>3</xdr:row>
      <xdr:rowOff>164922</xdr:rowOff>
    </xdr:to>
    <xdr:pic>
      <xdr:nvPicPr>
        <xdr:cNvPr id="2" name="Grafik 1">
          <a:extLst>
            <a:ext uri="{FF2B5EF4-FFF2-40B4-BE49-F238E27FC236}">
              <a16:creationId xmlns:a16="http://schemas.microsoft.com/office/drawing/2014/main" id="{025B05FA-23CC-4CD7-A0B8-BBE5161864C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57150"/>
          <a:ext cx="1314245" cy="7364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561975</xdr:colOff>
      <xdr:row>20</xdr:row>
      <xdr:rowOff>19049</xdr:rowOff>
    </xdr:from>
    <xdr:to>
      <xdr:col>14</xdr:col>
      <xdr:colOff>419100</xdr:colOff>
      <xdr:row>30</xdr:row>
      <xdr:rowOff>85724</xdr:rowOff>
    </xdr:to>
    <xdr:sp macro="" textlink="">
      <xdr:nvSpPr>
        <xdr:cNvPr id="2" name="Textfeld 1">
          <a:extLst>
            <a:ext uri="{FF2B5EF4-FFF2-40B4-BE49-F238E27FC236}">
              <a16:creationId xmlns:a16="http://schemas.microsoft.com/office/drawing/2014/main" id="{00000000-0008-0000-0300-000002000000}"/>
            </a:ext>
          </a:extLst>
        </xdr:cNvPr>
        <xdr:cNvSpPr txBox="1"/>
      </xdr:nvSpPr>
      <xdr:spPr>
        <a:xfrm>
          <a:off x="8658225" y="3876674"/>
          <a:ext cx="2905125" cy="1971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Interne Information:</a:t>
          </a:r>
        </a:p>
        <a:p>
          <a:endParaRPr lang="de-DE" sz="1100"/>
        </a:p>
        <a:p>
          <a:r>
            <a:rPr lang="de-DE" sz="1100"/>
            <a:t>Beim</a:t>
          </a:r>
          <a:r>
            <a:rPr lang="de-DE" sz="1100" baseline="0"/>
            <a:t> Anbau einer winterharten Zweitfrucht mit Ernte im Herbst, aber vor Beginn der Sperrfrist für Mist, darf von Ernte bis Sperrfrist Mist gefahren werden, wenn die nachfolgende Hauptfrucht einen Düngebedarf hat (= nicht Leguminose). Vorraussetzung ist, dass zwischen Düngung und Umbruch der Zweitfrucht mindestens 6 Wochen liegen. </a:t>
          </a:r>
          <a:endParaRPr lang="de-DE" sz="1100"/>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EB529-F940-4E35-AF43-16B7C25EA97F}">
  <sheetPr codeName="Tabelle1"/>
  <dimension ref="A1:O88"/>
  <sheetViews>
    <sheetView showGridLines="0" tabSelected="1" zoomScaleNormal="100" zoomScaleSheetLayoutView="100" workbookViewId="0">
      <selection activeCell="B9" sqref="B9"/>
    </sheetView>
  </sheetViews>
  <sheetFormatPr baseColWidth="10" defaultColWidth="11.42578125" defaultRowHeight="14.25" x14ac:dyDescent="0.2"/>
  <cols>
    <col min="1" max="1" width="15.5703125" style="28" customWidth="1"/>
    <col min="2" max="2" width="24" style="28" customWidth="1"/>
    <col min="3" max="3" width="21.140625" style="28" customWidth="1"/>
    <col min="4" max="4" width="23.85546875" style="28" customWidth="1"/>
    <col min="5" max="5" width="20.140625" style="28" customWidth="1"/>
    <col min="6" max="6" width="24" style="28" customWidth="1"/>
    <col min="7" max="7" width="23.5703125" style="28" hidden="1" customWidth="1"/>
    <col min="8" max="11" width="11.42578125" style="28" hidden="1" customWidth="1"/>
    <col min="12" max="12" width="13" style="28" customWidth="1"/>
    <col min="13" max="14" width="11.42578125" style="28" customWidth="1"/>
    <col min="15" max="15" width="12.140625" style="28" customWidth="1"/>
    <col min="16" max="44" width="11.42578125" style="28" customWidth="1"/>
    <col min="45" max="16384" width="11.42578125" style="28"/>
  </cols>
  <sheetData>
    <row r="1" spans="1:15" ht="7.5" customHeight="1" x14ac:dyDescent="0.2">
      <c r="F1" s="29"/>
      <c r="H1" s="20"/>
      <c r="I1" s="20"/>
      <c r="J1" s="20"/>
      <c r="K1" s="20"/>
    </row>
    <row r="2" spans="1:15" ht="27.75" customHeight="1" x14ac:dyDescent="0.25">
      <c r="A2" s="86" t="str">
        <f>CONCATENATE("Sperrfristprogramm ",Berechnung!$B$1,"/",Berechnung!$B$1-2000+1," - wann darf ich düngen?")</f>
        <v>Sperrfristprogramm 2026/27 - wann darf ich düngen?</v>
      </c>
      <c r="B2" s="86"/>
      <c r="C2" s="86"/>
      <c r="D2" s="86"/>
      <c r="E2" s="86"/>
      <c r="F2" s="86"/>
      <c r="H2" s="20"/>
      <c r="I2" s="20"/>
      <c r="J2" s="20"/>
      <c r="K2" s="20"/>
      <c r="L2" s="67"/>
      <c r="M2" s="68"/>
      <c r="N2" s="68"/>
      <c r="O2" s="68"/>
    </row>
    <row r="3" spans="1:15" ht="14.45" customHeight="1" x14ac:dyDescent="0.2">
      <c r="B3" s="87" t="s">
        <v>120</v>
      </c>
      <c r="C3" s="87"/>
      <c r="D3" s="87"/>
      <c r="E3" s="87"/>
      <c r="F3" s="87"/>
      <c r="H3" s="20"/>
      <c r="I3" s="20"/>
      <c r="J3" s="20"/>
      <c r="K3" s="20"/>
      <c r="L3" s="68"/>
      <c r="M3" s="68"/>
      <c r="N3" s="68"/>
      <c r="O3" s="68"/>
    </row>
    <row r="4" spans="1:15" x14ac:dyDescent="0.2">
      <c r="H4" s="20"/>
      <c r="I4" s="20"/>
      <c r="J4" s="20"/>
      <c r="K4" s="20"/>
      <c r="L4" s="68"/>
      <c r="M4" s="68"/>
      <c r="N4" s="68"/>
      <c r="O4" s="68"/>
    </row>
    <row r="5" spans="1:15" ht="21.75" customHeight="1" x14ac:dyDescent="0.2">
      <c r="A5" s="45"/>
      <c r="B5" s="45" t="s">
        <v>5</v>
      </c>
      <c r="C5" s="46"/>
      <c r="D5" s="47" t="s">
        <v>64</v>
      </c>
      <c r="F5" s="46"/>
      <c r="H5" s="20"/>
      <c r="I5" s="20"/>
      <c r="J5" s="20"/>
      <c r="K5" s="20"/>
      <c r="L5" s="69"/>
      <c r="M5" s="69"/>
      <c r="N5" s="69"/>
      <c r="O5" s="69"/>
    </row>
    <row r="6" spans="1:15" ht="7.15" customHeight="1" x14ac:dyDescent="0.25">
      <c r="A6" s="31"/>
      <c r="C6" s="30"/>
      <c r="D6" s="30"/>
      <c r="H6" s="20"/>
      <c r="I6" s="20"/>
      <c r="J6" s="22">
        <f>+K6</f>
        <v>46281</v>
      </c>
      <c r="K6" s="23">
        <f>DATE(Berechnung!$B$1,9,16)</f>
        <v>46281</v>
      </c>
      <c r="L6" s="69"/>
      <c r="M6" s="69"/>
      <c r="N6" s="68"/>
      <c r="O6" s="68"/>
    </row>
    <row r="7" spans="1:15" s="30" customFormat="1" ht="21" customHeight="1" x14ac:dyDescent="0.25">
      <c r="A7" s="84" t="str">
        <f>CONCATENATE("Hauptfrucht Ernte ",Berechnung!$B$1)</f>
        <v>Hauptfrucht Ernte 2026</v>
      </c>
      <c r="B7" s="84"/>
      <c r="C7" s="85" t="str">
        <f>CONCATENATE("Zwischen-/Zweitfrucht ",Berechnung!$B$1,"/",Berechnung!$B$1-2000+1)</f>
        <v>Zwischen-/Zweitfrucht 2026/27</v>
      </c>
      <c r="D7" s="85"/>
      <c r="E7" s="84" t="str">
        <f>CONCATENATE("Hauptfrucht Ernte ",Berechnung!$B$1+1)</f>
        <v>Hauptfrucht Ernte 2027</v>
      </c>
      <c r="F7" s="84"/>
      <c r="H7" s="24" t="s">
        <v>39</v>
      </c>
      <c r="I7" s="24"/>
      <c r="J7" s="26">
        <f>DATE(Berechnung!$B$1,5,31)</f>
        <v>46173</v>
      </c>
      <c r="K7" s="25">
        <f>+J7</f>
        <v>46173</v>
      </c>
      <c r="L7" s="69"/>
      <c r="M7" s="69"/>
      <c r="N7" s="69"/>
      <c r="O7" s="69"/>
    </row>
    <row r="8" spans="1:15" s="30" customFormat="1" ht="21" customHeight="1" x14ac:dyDescent="0.25">
      <c r="A8" s="41" t="s">
        <v>21</v>
      </c>
      <c r="C8" s="44" t="s">
        <v>21</v>
      </c>
      <c r="E8" s="41" t="s">
        <v>21</v>
      </c>
      <c r="H8" s="24" t="s">
        <v>53</v>
      </c>
      <c r="I8" s="26"/>
      <c r="J8" s="26">
        <f>+K8</f>
        <v>46235</v>
      </c>
      <c r="K8" s="25">
        <f>DATE(Berechnung!$B$1,8,1)</f>
        <v>46235</v>
      </c>
      <c r="L8" s="69"/>
      <c r="M8" s="69"/>
      <c r="N8" s="69"/>
      <c r="O8" s="69"/>
    </row>
    <row r="9" spans="1:15" s="30" customFormat="1" ht="21" customHeight="1" x14ac:dyDescent="0.25">
      <c r="A9" s="80" t="str">
        <f>IF(I23=3,"letzter Schnitt","Erntedatum")</f>
        <v>Erntedatum</v>
      </c>
      <c r="B9" s="39">
        <v>46235</v>
      </c>
      <c r="C9" s="44" t="s">
        <v>2</v>
      </c>
      <c r="D9" s="39"/>
      <c r="E9" s="41" t="s">
        <v>2</v>
      </c>
      <c r="F9" s="40">
        <v>46267</v>
      </c>
      <c r="H9" s="23">
        <f>DATE(Berechnung!B1+1,3,1)</f>
        <v>46447</v>
      </c>
      <c r="I9" s="21"/>
      <c r="J9" s="22">
        <f t="shared" ref="J9:J10" si="0">+K9</f>
        <v>46327</v>
      </c>
      <c r="K9" s="23">
        <f>DATE(Berechnung!$B$1,11,1)</f>
        <v>46327</v>
      </c>
      <c r="L9" s="69"/>
      <c r="M9" s="69"/>
      <c r="N9" s="69"/>
      <c r="O9" s="69"/>
    </row>
    <row r="10" spans="1:15" s="30" customFormat="1" ht="21" customHeight="1" x14ac:dyDescent="0.25">
      <c r="A10" s="79" t="s">
        <v>36</v>
      </c>
      <c r="B10" s="66"/>
      <c r="C10" s="44" t="s">
        <v>24</v>
      </c>
      <c r="E10" s="79" t="s">
        <v>79</v>
      </c>
      <c r="F10" s="66"/>
      <c r="H10" s="21">
        <f>MIN(F9,H9)</f>
        <v>46267</v>
      </c>
      <c r="I10" s="21"/>
      <c r="J10" s="22">
        <f t="shared" si="0"/>
        <v>46297</v>
      </c>
      <c r="K10" s="23">
        <f>DATE(Berechnung!$B$1,10,2)</f>
        <v>46297</v>
      </c>
      <c r="L10" s="69"/>
      <c r="M10" s="69"/>
      <c r="N10" s="69"/>
      <c r="O10" s="69"/>
    </row>
    <row r="11" spans="1:15" s="30" customFormat="1" ht="21" customHeight="1" x14ac:dyDescent="0.25">
      <c r="A11" s="41"/>
      <c r="B11" s="80"/>
      <c r="C11" s="44" t="s">
        <v>27</v>
      </c>
      <c r="D11" s="40"/>
      <c r="E11" s="41"/>
      <c r="F11" s="43"/>
      <c r="H11" s="24" t="s">
        <v>76</v>
      </c>
      <c r="I11" s="24"/>
      <c r="J11" s="26">
        <f>+K11</f>
        <v>46461</v>
      </c>
      <c r="K11" s="25">
        <f>DATE(Berechnung!$B$1+1,3,15)</f>
        <v>46461</v>
      </c>
      <c r="L11" s="69"/>
      <c r="M11" s="69"/>
      <c r="N11" s="69"/>
      <c r="O11" s="69"/>
    </row>
    <row r="12" spans="1:15" s="30" customFormat="1" ht="21" customHeight="1" x14ac:dyDescent="0.25">
      <c r="A12" s="41"/>
      <c r="B12" s="80" t="str">
        <f>IF(AND(B9=D9,B9=B10,B9&lt;&gt;""),"Umbruchdatum prüfen!"," ")</f>
        <v xml:space="preserve"> </v>
      </c>
      <c r="C12" s="44" t="s">
        <v>37</v>
      </c>
      <c r="D12" s="40"/>
      <c r="E12" s="41"/>
      <c r="F12" s="43"/>
      <c r="H12" s="21" t="s">
        <v>78</v>
      </c>
      <c r="I12" s="21"/>
      <c r="J12" s="21">
        <f>+K12</f>
        <v>46387</v>
      </c>
      <c r="K12" s="23">
        <f>DATE(Berechnung!$B$1,12,31)</f>
        <v>46387</v>
      </c>
      <c r="L12" s="70"/>
      <c r="M12" s="70"/>
      <c r="N12" s="69"/>
      <c r="O12" s="69"/>
    </row>
    <row r="13" spans="1:15" s="30" customFormat="1" ht="3.6" customHeight="1" x14ac:dyDescent="0.25">
      <c r="A13" s="41"/>
      <c r="B13" s="41"/>
      <c r="C13" s="41"/>
      <c r="D13" s="41"/>
      <c r="E13" s="41"/>
      <c r="F13" s="43"/>
      <c r="H13" s="21" t="s">
        <v>101</v>
      </c>
      <c r="I13" s="21"/>
      <c r="J13" s="21">
        <f>+K13</f>
        <v>46560</v>
      </c>
      <c r="K13" s="23">
        <f>DATE(Berechnung!B1+1,6,22)</f>
        <v>46560</v>
      </c>
      <c r="L13" s="69"/>
      <c r="M13" s="69"/>
      <c r="N13" s="69"/>
      <c r="O13" s="69"/>
    </row>
    <row r="14" spans="1:15" s="30" customFormat="1" ht="16.5" customHeight="1" x14ac:dyDescent="0.25">
      <c r="A14" s="74"/>
      <c r="B14" s="75" t="str">
        <f>IF(OR(I23=1,AND(I24=1,J22&gt;3)),"Angaben unvollständig",IF(AND(I24=3,I23&gt;2,J22&gt;3),"Angabe Stoppelbrache nur bei Getreide möglich",""))</f>
        <v/>
      </c>
      <c r="C14" s="76"/>
      <c r="D14" s="75" t="str">
        <f>IF(D19&lt;&gt;1,"Angaben prüfen!",IF(D9&gt;DATE(Berechnung!B1,12,1),"Fehler Saatdatum",IF(AND(OR(J23=4,J23=6),J24&gt;3),"Angaben prüfen!",IF(AND(J23&gt;2,D12-D9&lt;6*7),"Standzeit zu kurz",""))))</f>
        <v/>
      </c>
      <c r="E14" s="76"/>
      <c r="F14" s="75" t="str">
        <f>IF(F19=1,"","Angaben unvollständig")</f>
        <v/>
      </c>
      <c r="H14" s="21" t="s">
        <v>103</v>
      </c>
      <c r="I14" s="21"/>
      <c r="J14" s="21">
        <f>+K14</f>
        <v>46195</v>
      </c>
      <c r="K14" s="23">
        <f>+DATE(Berechnung!$B$1,6,22)</f>
        <v>46195</v>
      </c>
      <c r="L14" s="69"/>
      <c r="M14" s="69"/>
      <c r="N14" s="69"/>
      <c r="O14" s="69"/>
    </row>
    <row r="15" spans="1:15" s="30" customFormat="1" ht="16.5" customHeight="1" x14ac:dyDescent="0.25">
      <c r="A15" s="74"/>
      <c r="B15" s="75" t="str">
        <f>IF(OR(B9&lt;K7,B9&gt;K12),"Fehler Datum",IF(AND(I24=3,J23&gt;2),"Fehler Stoppelbrache",IF(AND($I$23=3,B10=0,OR($B$9&lt;&gt;D9,J24&lt;&gt;4,I23&lt;&gt;3),OR($K$23&gt;5,AND($K$23=5,$F$9&gt;0))),"Fehler Umbruchdatum",IF(OR(B10&gt;K13,AND(B10&gt;0,I23&lt;&gt;3),AND(B10&lt;&gt;0,B10&lt;B9),AND(B10&lt;&gt;0,B10&gt;D9,D9&lt;&gt;0)),"Fehler Umbruchdatum",""))))</f>
        <v/>
      </c>
      <c r="C15" s="76"/>
      <c r="D15" s="75"/>
      <c r="E15" s="76"/>
      <c r="F15" s="75" t="str">
        <f>IF(AND(D12&gt;0,F9&gt;0,D12&gt;F9),"Fehler Saatdatum",IF(AND(F9&lt;&gt;0,F9&lt;K14),"Fehler Saatdatum",IF(OR(K23=2,K23=3,K23=4),IF(OR(F9=0,F9&gt;Berechnung!B40,F9&lt;MAX(B9,B10)),"Fehler Saatdatum",IF(F10&gt;0,"Fehler Erntedatum Herbst","")),IF(AND(K23&gt;5,OR(F9&lt;Berechnung!B41,F9&lt;MAX(B9,B10)),F9&gt;0),"Fehler Saatdatum",IF(AND(I23=3,K23=5,J23&gt;2,F9&lt;K12),"Zwischenfrucht ???",IF(F9&gt;K13,"Fehler Saatdatum",IF(AND(OR(F9&lt;MAX(B9,B10),F9&lt;D12),F9&lt;&gt;0,K23=5,OR(I23=2,I23=4)),"Fehler Saatdatum",IF(AND(F10&gt;0,OR(K23&lt;&gt;5,F9&gt;K12,F10&lt;=F9)),"Fehler Erntedatum Herbst",IF(AND(F9&gt;=Berechnung!B40,F9&lt;Berechnung!B41),"Saatdatum nicht plausibel","")))))))))</f>
        <v/>
      </c>
      <c r="H15" s="21"/>
      <c r="I15" s="21"/>
      <c r="J15" s="21"/>
      <c r="K15" s="23"/>
      <c r="L15" s="69"/>
      <c r="M15" s="69"/>
      <c r="N15" s="69"/>
      <c r="O15" s="69"/>
    </row>
    <row r="16" spans="1:15" s="30" customFormat="1" ht="21" customHeight="1" x14ac:dyDescent="0.25">
      <c r="A16" s="74"/>
      <c r="B16" s="74"/>
      <c r="C16" s="77"/>
      <c r="D16" s="74"/>
      <c r="E16" s="74"/>
      <c r="F16" s="78"/>
      <c r="H16" s="21"/>
      <c r="I16" s="21"/>
      <c r="J16" s="21"/>
      <c r="K16" s="21"/>
      <c r="L16" s="69"/>
      <c r="M16" s="69"/>
      <c r="N16" s="69"/>
      <c r="O16" s="69"/>
    </row>
    <row r="17" spans="1:11" s="30" customFormat="1" ht="257.25" customHeight="1" x14ac:dyDescent="0.25">
      <c r="C17" s="33"/>
      <c r="D17" s="32"/>
      <c r="F17" s="33"/>
      <c r="H17" s="21"/>
      <c r="I17" s="21"/>
      <c r="J17" s="21"/>
      <c r="K17" s="21"/>
    </row>
    <row r="18" spans="1:11" s="30" customFormat="1" ht="14.25" customHeight="1" x14ac:dyDescent="0.25">
      <c r="A18" s="81" t="s">
        <v>123</v>
      </c>
      <c r="C18" s="33"/>
      <c r="D18" s="32"/>
      <c r="F18" s="33"/>
      <c r="H18" s="21"/>
      <c r="I18" s="21"/>
      <c r="J18" s="21"/>
      <c r="K18" s="21"/>
    </row>
    <row r="19" spans="1:11" s="71" customFormat="1" hidden="1" x14ac:dyDescent="0.2">
      <c r="A19" s="34" t="s">
        <v>28</v>
      </c>
      <c r="B19" s="34">
        <f>IF(AND(J22&gt;1,K22&gt;1,J23&gt;1,B9&gt;J7),1,0)</f>
        <v>1</v>
      </c>
      <c r="C19" s="34"/>
      <c r="D19" s="34">
        <f>IF(J23=1,0,IF(J23=2,1,IF(J24=1,0,IF(D9&lt;B9,0,IF(AND(J24=2,D12&gt;0),1,IF(J25=1,0,IF(D12&lt;B9,0,IF(OR(J24=3,J24=5),IF(D11&lt;D9,0,1),IF(AND(J24&gt;3,D12&lt;DATE(Berechnung!B1+1,2,1)),0,1)))))))))</f>
        <v>1</v>
      </c>
      <c r="E19" s="34"/>
      <c r="F19" s="34">
        <f>IF(K23=1,0,IF(K23&gt;4,1,IF(F9&lt;B9,0,1)))</f>
        <v>1</v>
      </c>
      <c r="G19" s="34">
        <f>+F19+D19+B19</f>
        <v>3</v>
      </c>
      <c r="H19" s="34"/>
      <c r="I19" s="49"/>
      <c r="J19" s="49"/>
      <c r="K19" s="49"/>
    </row>
    <row r="20" spans="1:11" s="71" customFormat="1" hidden="1" x14ac:dyDescent="0.2">
      <c r="A20" s="34"/>
      <c r="B20" s="34"/>
      <c r="C20" s="34"/>
      <c r="D20" s="34"/>
      <c r="E20" s="34"/>
      <c r="F20" s="34"/>
      <c r="G20" s="34"/>
      <c r="H20" s="34" t="s">
        <v>96</v>
      </c>
      <c r="I20" s="49"/>
      <c r="J20" s="49"/>
      <c r="K20" s="49"/>
    </row>
    <row r="21" spans="1:11" s="71" customFormat="1" hidden="1" x14ac:dyDescent="0.2">
      <c r="A21" s="34"/>
      <c r="B21" s="34"/>
      <c r="C21" s="34"/>
      <c r="D21" s="50"/>
      <c r="E21" s="34"/>
      <c r="F21" s="34"/>
      <c r="G21" s="34"/>
      <c r="H21" s="34" t="s">
        <v>97</v>
      </c>
      <c r="I21" s="49" t="s">
        <v>93</v>
      </c>
      <c r="J21" s="49" t="s">
        <v>94</v>
      </c>
      <c r="K21" s="49" t="s">
        <v>95</v>
      </c>
    </row>
    <row r="22" spans="1:11" s="71" customFormat="1" hidden="1" x14ac:dyDescent="0.2">
      <c r="A22" s="34"/>
      <c r="B22" s="34"/>
      <c r="C22" s="34" t="s">
        <v>19</v>
      </c>
      <c r="D22" s="34" t="s">
        <v>18</v>
      </c>
      <c r="E22" s="34" t="s">
        <v>8</v>
      </c>
      <c r="F22" s="34"/>
      <c r="G22" s="34" t="s">
        <v>122</v>
      </c>
      <c r="H22" s="34">
        <v>5</v>
      </c>
      <c r="I22" s="49"/>
      <c r="J22" s="82">
        <v>2</v>
      </c>
      <c r="K22" s="48">
        <v>2</v>
      </c>
    </row>
    <row r="23" spans="1:11" s="71" customFormat="1" hidden="1" x14ac:dyDescent="0.2">
      <c r="A23" s="34"/>
      <c r="B23" s="34" t="str">
        <f>+IF(G19&lt;3,"Angaben Fehlen",IF(G23=1,"Angaben prüfen","Fehler"))</f>
        <v>Fehler</v>
      </c>
      <c r="C23" s="34">
        <f>+D23</f>
        <v>0</v>
      </c>
      <c r="D23" s="34">
        <f>+E23</f>
        <v>0</v>
      </c>
      <c r="E23" s="51">
        <f>+IF(AND(G19=3,G23=2),0,305)</f>
        <v>0</v>
      </c>
      <c r="F23" s="34"/>
      <c r="G23" s="34">
        <f>+IF(AND(B14="",B15="",D14="",F14="",F15=""),2,1)</f>
        <v>2</v>
      </c>
      <c r="H23" s="34">
        <v>8</v>
      </c>
      <c r="I23" s="42">
        <v>2</v>
      </c>
      <c r="J23" s="21">
        <v>2</v>
      </c>
      <c r="K23" s="42">
        <v>3</v>
      </c>
    </row>
    <row r="24" spans="1:11" s="71" customFormat="1" hidden="1" x14ac:dyDescent="0.2">
      <c r="A24" s="34"/>
      <c r="B24" s="34" t="str">
        <f>+Berechnung!C16</f>
        <v>Getreide (Drusch)</v>
      </c>
      <c r="C24" s="34"/>
      <c r="D24" s="34"/>
      <c r="E24" s="51">
        <f>+Berechnung!E16</f>
        <v>62</v>
      </c>
      <c r="F24" s="34"/>
      <c r="G24" s="34"/>
      <c r="H24" s="34">
        <v>10</v>
      </c>
      <c r="I24" s="82">
        <v>2</v>
      </c>
      <c r="J24" s="27">
        <v>1</v>
      </c>
      <c r="K24" s="49"/>
    </row>
    <row r="25" spans="1:11" s="71" customFormat="1" hidden="1" x14ac:dyDescent="0.2">
      <c r="A25" s="34"/>
      <c r="B25" s="34" t="str">
        <f>+Berechnung!F16</f>
        <v>Brache</v>
      </c>
      <c r="C25" s="34"/>
      <c r="D25" s="34"/>
      <c r="E25" s="34">
        <f>+Berechnung!H16</f>
        <v>32</v>
      </c>
      <c r="F25" s="34"/>
      <c r="G25" s="34"/>
      <c r="H25" s="34">
        <v>11</v>
      </c>
      <c r="I25" s="49"/>
      <c r="J25" s="83">
        <v>2</v>
      </c>
      <c r="K25" s="49"/>
    </row>
    <row r="26" spans="1:11" s="71" customFormat="1" hidden="1" x14ac:dyDescent="0.2">
      <c r="A26" s="34"/>
      <c r="B26" s="34" t="str">
        <f>+Berechnung!I16</f>
        <v>Zweitfrucht</v>
      </c>
      <c r="C26" s="34"/>
      <c r="D26" s="34"/>
      <c r="E26" s="51">
        <f>+Berechnung!K16</f>
        <v>0</v>
      </c>
      <c r="F26" s="34"/>
      <c r="G26" s="34"/>
      <c r="H26" s="34"/>
      <c r="I26" s="49"/>
      <c r="J26" s="49"/>
      <c r="K26" s="49"/>
    </row>
    <row r="27" spans="1:11" s="71" customFormat="1" hidden="1" x14ac:dyDescent="0.2">
      <c r="A27" s="34"/>
      <c r="B27" s="34" t="str">
        <f>+Berechnung!L16</f>
        <v>Zwischenfrucht</v>
      </c>
      <c r="C27" s="34"/>
      <c r="D27" s="34"/>
      <c r="E27" s="51">
        <f>+Berechnung!N16</f>
        <v>0</v>
      </c>
      <c r="F27" s="34"/>
      <c r="G27" s="34"/>
      <c r="H27" s="34"/>
      <c r="I27" s="49"/>
      <c r="J27" s="49"/>
      <c r="K27" s="49"/>
    </row>
    <row r="28" spans="1:11" s="71" customFormat="1" hidden="1" x14ac:dyDescent="0.2">
      <c r="A28" s="34"/>
      <c r="B28" s="34" t="str">
        <f>+Berechnung!Q16</f>
        <v>Brache</v>
      </c>
      <c r="C28" s="34"/>
      <c r="D28" s="34"/>
      <c r="E28" s="51">
        <f>+Berechnung!S16</f>
        <v>0</v>
      </c>
      <c r="F28" s="34"/>
      <c r="G28" s="34"/>
      <c r="H28" s="34"/>
      <c r="I28" s="49"/>
      <c r="J28" s="49"/>
      <c r="K28" s="49"/>
    </row>
    <row r="29" spans="1:11" s="71" customFormat="1" hidden="1" x14ac:dyDescent="0.2">
      <c r="A29" s="34"/>
      <c r="B29" s="34" t="str">
        <f>+Berechnung!AB16</f>
        <v>W-Gerste (Drusch)</v>
      </c>
      <c r="C29" s="34"/>
      <c r="D29" s="34"/>
      <c r="E29" s="51">
        <f>+Berechnung!AD16</f>
        <v>211</v>
      </c>
      <c r="F29" s="34"/>
      <c r="G29" s="34"/>
      <c r="H29" s="34"/>
      <c r="I29" s="49"/>
      <c r="J29" s="49"/>
      <c r="K29" s="49"/>
    </row>
    <row r="30" spans="1:11" s="71" customFormat="1" hidden="1" x14ac:dyDescent="0.2">
      <c r="A30" s="34" t="str">
        <f>Berechnung!C18</f>
        <v>DBE VF</v>
      </c>
      <c r="B30" s="34" t="str">
        <f>+Berechnung!C17</f>
        <v>DBE VF</v>
      </c>
      <c r="C30" s="34">
        <f>+Berechnung!E18</f>
        <v>62</v>
      </c>
      <c r="D30" s="34">
        <f>+Berechnung!E17</f>
        <v>62</v>
      </c>
      <c r="E30" s="34"/>
      <c r="F30" s="34"/>
      <c r="G30" s="34"/>
      <c r="H30" s="34"/>
      <c r="I30" s="49"/>
      <c r="J30" s="49"/>
      <c r="K30" s="49"/>
    </row>
    <row r="31" spans="1:11" s="71" customFormat="1" hidden="1" x14ac:dyDescent="0.2">
      <c r="A31" s="34" t="s">
        <v>54</v>
      </c>
      <c r="B31" s="34" t="str">
        <f>+Berechnung!I17</f>
        <v xml:space="preserve"> </v>
      </c>
      <c r="C31" s="34"/>
      <c r="D31" s="51">
        <f>+Berechnung!K17</f>
        <v>0</v>
      </c>
      <c r="E31" s="34"/>
      <c r="F31" s="34"/>
      <c r="G31" s="34"/>
      <c r="H31" s="34"/>
      <c r="I31" s="49"/>
      <c r="J31" s="49"/>
      <c r="K31" s="49"/>
    </row>
    <row r="32" spans="1:11" s="71" customFormat="1" hidden="1" x14ac:dyDescent="0.2">
      <c r="A32" s="34" t="s">
        <v>55</v>
      </c>
      <c r="B32" s="34" t="str">
        <f>+Berechnung!L17</f>
        <v xml:space="preserve"> </v>
      </c>
      <c r="C32" s="34"/>
      <c r="D32" s="51">
        <f>+Berechnung!P17</f>
        <v>0</v>
      </c>
      <c r="E32" s="34"/>
      <c r="F32" s="34"/>
      <c r="G32" s="34"/>
      <c r="H32" s="34"/>
      <c r="I32" s="49"/>
      <c r="J32" s="49"/>
      <c r="K32" s="49"/>
    </row>
    <row r="33" spans="1:12" s="71" customFormat="1" hidden="1" x14ac:dyDescent="0.2">
      <c r="A33" s="34" t="s">
        <v>29</v>
      </c>
      <c r="B33" s="34" t="str">
        <f>+Berechnung!T17</f>
        <v>praxisübliche Menge</v>
      </c>
      <c r="C33" s="51"/>
      <c r="D33" s="34">
        <f>+Berechnung!X17</f>
        <v>122</v>
      </c>
      <c r="E33" s="34"/>
      <c r="F33" s="34"/>
      <c r="G33" s="34"/>
      <c r="H33" s="34"/>
      <c r="I33" s="49"/>
      <c r="J33" s="49"/>
      <c r="K33" s="49"/>
    </row>
    <row r="34" spans="1:12" s="71" customFormat="1" hidden="1" x14ac:dyDescent="0.2">
      <c r="A34" s="34"/>
      <c r="B34" s="34" t="str">
        <f>+Berechnung!Y17</f>
        <v>Sperrfrist (N) 01.12. - 15.01.</v>
      </c>
      <c r="C34" s="34"/>
      <c r="D34" s="34">
        <f>+Berechnung!AA17</f>
        <v>45</v>
      </c>
      <c r="E34" s="34"/>
      <c r="F34" s="34"/>
      <c r="G34" s="34"/>
      <c r="H34" s="34"/>
      <c r="I34" s="49"/>
      <c r="J34" s="49"/>
      <c r="K34" s="49"/>
    </row>
    <row r="35" spans="1:12" s="71" customFormat="1" hidden="1" x14ac:dyDescent="0.2">
      <c r="A35" s="34" t="s">
        <v>29</v>
      </c>
      <c r="B35" s="34" t="str">
        <f>+Berechnung!AB17</f>
        <v>DBE-HF</v>
      </c>
      <c r="C35" s="34"/>
      <c r="D35" s="51">
        <f>+Berechnung!AD17</f>
        <v>76</v>
      </c>
      <c r="E35" s="34"/>
      <c r="F35" s="34"/>
      <c r="G35" s="34"/>
      <c r="H35" s="34"/>
      <c r="I35" s="49"/>
      <c r="J35" s="49"/>
      <c r="K35" s="49"/>
    </row>
    <row r="36" spans="1:12" s="71" customFormat="1" hidden="1" x14ac:dyDescent="0.2">
      <c r="A36" s="34" t="s">
        <v>54</v>
      </c>
      <c r="B36" s="34" t="str">
        <f>+Berechnung!I18</f>
        <v xml:space="preserve"> </v>
      </c>
      <c r="C36" s="51">
        <f>+Berechnung!K18</f>
        <v>0</v>
      </c>
      <c r="D36" s="51"/>
      <c r="E36" s="34"/>
      <c r="F36" s="34"/>
      <c r="G36" s="34"/>
      <c r="H36" s="34"/>
      <c r="I36" s="49"/>
      <c r="J36" s="49"/>
      <c r="K36" s="49"/>
    </row>
    <row r="37" spans="1:12" s="71" customFormat="1" hidden="1" x14ac:dyDescent="0.2">
      <c r="A37" s="34" t="s">
        <v>55</v>
      </c>
      <c r="B37" s="34" t="str">
        <f>+Berechnung!L18</f>
        <v xml:space="preserve"> </v>
      </c>
      <c r="C37" s="51">
        <f>+Berechnung!P18</f>
        <v>0</v>
      </c>
      <c r="D37" s="51"/>
      <c r="E37" s="34"/>
      <c r="F37" s="34"/>
      <c r="G37" s="34"/>
      <c r="H37" s="34"/>
      <c r="I37" s="49"/>
      <c r="J37" s="49"/>
      <c r="K37" s="49"/>
    </row>
    <row r="38" spans="1:12" s="71" customFormat="1" hidden="1" x14ac:dyDescent="0.2">
      <c r="A38" s="34" t="s">
        <v>29</v>
      </c>
      <c r="B38" s="34" t="str">
        <f>+Berechnung!T18</f>
        <v>30/60 kg N</v>
      </c>
      <c r="C38" s="51">
        <f>+Berechnung!X18</f>
        <v>62</v>
      </c>
      <c r="D38" s="51"/>
      <c r="E38" s="34"/>
      <c r="F38" s="34"/>
      <c r="G38" s="34"/>
      <c r="H38" s="34"/>
      <c r="I38" s="49"/>
      <c r="J38" s="49"/>
      <c r="K38" s="49"/>
    </row>
    <row r="39" spans="1:12" s="71" customFormat="1" hidden="1" x14ac:dyDescent="0.2">
      <c r="A39" s="34"/>
      <c r="B39" s="34" t="str">
        <f>Berechnung!Y18</f>
        <v>Sperrfrist (N) 02.10. - 31.01.</v>
      </c>
      <c r="C39" s="51">
        <f>+Berechnung!AA18</f>
        <v>121</v>
      </c>
      <c r="D39" s="34"/>
      <c r="E39" s="34"/>
      <c r="F39" s="34"/>
      <c r="G39" s="34"/>
      <c r="H39" s="34"/>
      <c r="I39" s="49"/>
      <c r="J39" s="49"/>
      <c r="K39" s="49"/>
    </row>
    <row r="40" spans="1:12" s="71" customFormat="1" hidden="1" x14ac:dyDescent="0.2">
      <c r="A40" s="34"/>
      <c r="B40" s="34" t="str">
        <f>+Berechnung!AB18</f>
        <v>DBE-HF</v>
      </c>
      <c r="C40" s="51">
        <f>+Berechnung!AD18</f>
        <v>60</v>
      </c>
      <c r="D40" s="34"/>
      <c r="E40" s="34"/>
      <c r="F40" s="34"/>
      <c r="G40" s="34"/>
      <c r="H40" s="34"/>
      <c r="I40" s="49"/>
      <c r="J40" s="49"/>
      <c r="K40" s="49"/>
    </row>
    <row r="41" spans="1:12" s="71" customFormat="1" hidden="1" x14ac:dyDescent="0.2">
      <c r="A41" s="34"/>
      <c r="B41" s="34"/>
      <c r="C41" s="34"/>
      <c r="D41" s="34"/>
      <c r="E41" s="34"/>
      <c r="F41" s="34"/>
      <c r="G41" s="34"/>
      <c r="H41" s="34"/>
      <c r="I41" s="49"/>
      <c r="J41" s="49"/>
      <c r="K41" s="49"/>
    </row>
    <row r="42" spans="1:12" s="71" customFormat="1" hidden="1" x14ac:dyDescent="0.2">
      <c r="A42" s="73"/>
      <c r="B42" s="73"/>
      <c r="C42" s="73"/>
      <c r="D42" s="73"/>
      <c r="E42" s="73"/>
      <c r="F42" s="73"/>
      <c r="G42" s="73"/>
      <c r="H42" s="73"/>
      <c r="I42" s="28"/>
      <c r="J42" s="28"/>
      <c r="K42" s="28"/>
      <c r="L42" s="28"/>
    </row>
    <row r="43" spans="1:12" s="65" customFormat="1" x14ac:dyDescent="0.2">
      <c r="A43" s="73"/>
      <c r="B43" s="73"/>
      <c r="C43" s="73"/>
      <c r="D43" s="73"/>
      <c r="E43" s="73"/>
      <c r="F43" s="73"/>
      <c r="G43" s="73"/>
      <c r="H43" s="73"/>
      <c r="I43" s="28"/>
      <c r="J43" s="28"/>
      <c r="K43" s="28"/>
      <c r="L43" s="28"/>
    </row>
    <row r="44" spans="1:12" s="65" customFormat="1" x14ac:dyDescent="0.2">
      <c r="A44" s="73"/>
      <c r="B44" s="73"/>
      <c r="C44" s="73"/>
      <c r="D44" s="73"/>
      <c r="E44" s="73"/>
      <c r="F44" s="73"/>
      <c r="G44" s="73"/>
      <c r="H44" s="73"/>
      <c r="I44" s="28"/>
      <c r="J44" s="28"/>
      <c r="K44" s="28"/>
      <c r="L44" s="28"/>
    </row>
    <row r="45" spans="1:12" s="65" customFormat="1" x14ac:dyDescent="0.2">
      <c r="A45" s="73"/>
      <c r="B45" s="73"/>
      <c r="C45" s="73"/>
      <c r="D45" s="73"/>
      <c r="E45" s="73"/>
      <c r="F45" s="73"/>
      <c r="G45" s="73"/>
      <c r="H45" s="73"/>
      <c r="I45" s="28"/>
      <c r="J45" s="28"/>
      <c r="K45" s="28"/>
      <c r="L45" s="28"/>
    </row>
    <row r="46" spans="1:12" s="65" customFormat="1" x14ac:dyDescent="0.2">
      <c r="A46" s="73"/>
      <c r="B46" s="73"/>
      <c r="C46" s="73"/>
      <c r="D46" s="73"/>
      <c r="E46" s="73"/>
      <c r="F46" s="73"/>
      <c r="G46" s="73"/>
      <c r="H46" s="73"/>
      <c r="I46" s="28"/>
      <c r="J46" s="28"/>
      <c r="K46" s="28"/>
      <c r="L46" s="28"/>
    </row>
    <row r="47" spans="1:12" s="65" customFormat="1" x14ac:dyDescent="0.2">
      <c r="A47" s="73"/>
      <c r="B47" s="73"/>
      <c r="C47" s="73"/>
      <c r="D47" s="73"/>
      <c r="E47" s="73"/>
      <c r="F47" s="73"/>
      <c r="G47" s="73"/>
      <c r="H47" s="73"/>
      <c r="I47" s="28"/>
      <c r="J47" s="28"/>
      <c r="K47" s="28"/>
      <c r="L47" s="28"/>
    </row>
    <row r="48" spans="1:12" s="65" customFormat="1" x14ac:dyDescent="0.2">
      <c r="A48" s="73"/>
      <c r="B48" s="73"/>
      <c r="C48" s="73"/>
      <c r="D48" s="73"/>
      <c r="E48" s="73"/>
      <c r="F48" s="73"/>
      <c r="G48" s="73"/>
      <c r="H48" s="73"/>
      <c r="I48" s="28"/>
      <c r="J48" s="28"/>
      <c r="K48" s="28"/>
      <c r="L48" s="28"/>
    </row>
    <row r="49" spans="1:12" s="65" customFormat="1" x14ac:dyDescent="0.2">
      <c r="A49" s="73"/>
      <c r="B49" s="73"/>
      <c r="C49" s="73"/>
      <c r="D49" s="73"/>
      <c r="E49" s="73"/>
      <c r="F49" s="73"/>
      <c r="G49" s="73"/>
      <c r="H49" s="73"/>
      <c r="I49" s="28"/>
      <c r="J49" s="28"/>
      <c r="K49" s="28"/>
      <c r="L49" s="28"/>
    </row>
    <row r="50" spans="1:12" s="65" customFormat="1" x14ac:dyDescent="0.2">
      <c r="A50" s="73"/>
      <c r="B50" s="73"/>
      <c r="C50" s="73"/>
      <c r="D50" s="73"/>
      <c r="E50" s="73"/>
      <c r="F50" s="73"/>
      <c r="G50" s="73"/>
      <c r="H50" s="73"/>
      <c r="I50" s="28"/>
      <c r="J50" s="28"/>
      <c r="K50" s="28"/>
      <c r="L50" s="28"/>
    </row>
    <row r="51" spans="1:12" s="65" customFormat="1" x14ac:dyDescent="0.2">
      <c r="A51" s="73"/>
      <c r="B51" s="28"/>
      <c r="C51" s="73"/>
      <c r="D51" s="28"/>
      <c r="E51" s="73"/>
      <c r="F51" s="73"/>
      <c r="G51" s="73"/>
      <c r="H51" s="73"/>
      <c r="I51" s="28"/>
      <c r="J51" s="28"/>
      <c r="K51" s="28"/>
      <c r="L51" s="28"/>
    </row>
    <row r="52" spans="1:12" s="65" customFormat="1" x14ac:dyDescent="0.2">
      <c r="A52" s="73"/>
      <c r="B52" s="73"/>
      <c r="C52" s="73"/>
      <c r="D52" s="73"/>
      <c r="E52" s="73"/>
      <c r="F52" s="73"/>
      <c r="G52" s="73"/>
      <c r="H52" s="73"/>
      <c r="I52" s="28"/>
      <c r="J52" s="28"/>
      <c r="K52" s="28"/>
      <c r="L52" s="28"/>
    </row>
    <row r="53" spans="1:12" s="65" customFormat="1" x14ac:dyDescent="0.2">
      <c r="A53" s="73"/>
      <c r="B53" s="73"/>
      <c r="C53" s="73"/>
      <c r="D53" s="73"/>
      <c r="E53" s="73"/>
      <c r="F53" s="73"/>
      <c r="G53" s="73"/>
      <c r="H53" s="73"/>
      <c r="I53" s="28"/>
      <c r="J53" s="28"/>
      <c r="K53" s="28"/>
      <c r="L53" s="28"/>
    </row>
    <row r="54" spans="1:12" s="65" customFormat="1" x14ac:dyDescent="0.2">
      <c r="A54" s="73"/>
      <c r="B54" s="73"/>
      <c r="C54" s="73"/>
      <c r="D54" s="73"/>
      <c r="E54" s="73"/>
      <c r="F54" s="73"/>
      <c r="G54" s="73"/>
      <c r="H54" s="73"/>
      <c r="I54" s="28"/>
      <c r="J54" s="28"/>
      <c r="K54" s="28"/>
      <c r="L54" s="28"/>
    </row>
    <row r="55" spans="1:12" s="65" customFormat="1" x14ac:dyDescent="0.2">
      <c r="A55" s="73"/>
      <c r="B55" s="73"/>
      <c r="C55" s="73"/>
      <c r="D55" s="73"/>
      <c r="E55" s="73"/>
      <c r="F55" s="73"/>
      <c r="G55" s="73"/>
      <c r="H55" s="73"/>
      <c r="I55" s="28"/>
      <c r="J55" s="28"/>
      <c r="K55" s="28"/>
      <c r="L55" s="28"/>
    </row>
    <row r="56" spans="1:12" s="65" customFormat="1" x14ac:dyDescent="0.2">
      <c r="A56" s="73"/>
      <c r="B56" s="73"/>
      <c r="C56" s="73"/>
      <c r="D56" s="73"/>
      <c r="E56" s="73"/>
      <c r="F56" s="73"/>
      <c r="G56" s="73"/>
      <c r="H56" s="73"/>
      <c r="I56" s="28"/>
      <c r="J56" s="28"/>
      <c r="K56" s="28"/>
      <c r="L56" s="28"/>
    </row>
    <row r="57" spans="1:12" s="65" customFormat="1" x14ac:dyDescent="0.2">
      <c r="A57" s="73"/>
      <c r="B57" s="73"/>
      <c r="C57" s="73"/>
      <c r="D57" s="73"/>
      <c r="E57" s="73"/>
      <c r="F57" s="73"/>
      <c r="G57" s="73"/>
      <c r="H57" s="73"/>
      <c r="I57" s="28"/>
      <c r="J57" s="28"/>
      <c r="K57" s="28"/>
      <c r="L57" s="28"/>
    </row>
    <row r="58" spans="1:12" s="65" customFormat="1" x14ac:dyDescent="0.2">
      <c r="A58" s="73"/>
      <c r="B58" s="73"/>
      <c r="C58" s="73"/>
      <c r="D58" s="73"/>
      <c r="E58" s="73"/>
      <c r="F58" s="73"/>
      <c r="G58" s="73"/>
      <c r="H58" s="73"/>
      <c r="I58" s="28"/>
      <c r="J58" s="28"/>
      <c r="K58" s="28"/>
      <c r="L58" s="28"/>
    </row>
    <row r="59" spans="1:12" s="65" customFormat="1" x14ac:dyDescent="0.2">
      <c r="A59" s="73"/>
      <c r="B59" s="73"/>
      <c r="C59" s="73"/>
      <c r="D59" s="73"/>
      <c r="E59" s="73"/>
      <c r="F59" s="73"/>
      <c r="G59" s="73"/>
      <c r="H59" s="73"/>
      <c r="I59" s="28"/>
      <c r="J59" s="28"/>
      <c r="K59" s="28"/>
      <c r="L59" s="28"/>
    </row>
    <row r="60" spans="1:12" s="65" customFormat="1" x14ac:dyDescent="0.2">
      <c r="A60" s="73"/>
      <c r="B60" s="73"/>
      <c r="C60" s="73"/>
      <c r="D60" s="73"/>
      <c r="E60" s="73"/>
      <c r="F60" s="73"/>
      <c r="G60" s="73"/>
      <c r="H60" s="73"/>
      <c r="I60" s="28"/>
      <c r="J60" s="28"/>
      <c r="K60" s="28"/>
      <c r="L60" s="28"/>
    </row>
    <row r="61" spans="1:12" s="65" customFormat="1" x14ac:dyDescent="0.2">
      <c r="A61" s="73"/>
      <c r="B61" s="73"/>
      <c r="C61" s="73"/>
      <c r="D61" s="73"/>
      <c r="E61" s="73"/>
      <c r="F61" s="73"/>
      <c r="G61" s="73"/>
      <c r="H61" s="73"/>
      <c r="I61" s="28"/>
      <c r="J61" s="28"/>
      <c r="K61" s="28"/>
      <c r="L61" s="28"/>
    </row>
    <row r="62" spans="1:12" s="65" customFormat="1" x14ac:dyDescent="0.2">
      <c r="A62" s="73"/>
      <c r="B62" s="73"/>
      <c r="C62" s="73"/>
      <c r="D62" s="73"/>
      <c r="E62" s="73"/>
      <c r="F62" s="73"/>
      <c r="G62" s="73"/>
      <c r="H62" s="73"/>
      <c r="I62" s="28"/>
      <c r="J62" s="28"/>
      <c r="K62" s="28"/>
      <c r="L62" s="28"/>
    </row>
    <row r="63" spans="1:12" s="65" customFormat="1" x14ac:dyDescent="0.2">
      <c r="A63" s="73"/>
      <c r="B63" s="73"/>
      <c r="C63" s="73"/>
      <c r="D63" s="73"/>
      <c r="E63" s="73"/>
      <c r="F63" s="73"/>
      <c r="G63" s="73"/>
      <c r="H63" s="73"/>
      <c r="I63" s="28"/>
      <c r="J63" s="28"/>
      <c r="K63" s="28"/>
      <c r="L63" s="28"/>
    </row>
    <row r="64" spans="1:12" s="65" customFormat="1" x14ac:dyDescent="0.2">
      <c r="A64" s="73"/>
      <c r="B64" s="73"/>
      <c r="C64" s="73"/>
      <c r="D64" s="73"/>
      <c r="E64" s="73"/>
      <c r="F64" s="73"/>
      <c r="G64" s="73"/>
      <c r="H64" s="73"/>
      <c r="I64" s="28"/>
      <c r="J64" s="28"/>
      <c r="K64" s="28"/>
      <c r="L64" s="28"/>
    </row>
    <row r="65" spans="1:12" s="65" customFormat="1" x14ac:dyDescent="0.2">
      <c r="A65" s="73"/>
      <c r="B65" s="73"/>
      <c r="C65" s="73"/>
      <c r="D65" s="73"/>
      <c r="E65" s="73"/>
      <c r="F65" s="73"/>
      <c r="G65" s="73"/>
      <c r="H65" s="73"/>
      <c r="I65" s="28"/>
      <c r="J65" s="28"/>
      <c r="K65" s="28"/>
      <c r="L65" s="28"/>
    </row>
    <row r="66" spans="1:12" s="65" customFormat="1" x14ac:dyDescent="0.2">
      <c r="A66" s="73"/>
      <c r="B66" s="73"/>
      <c r="C66" s="73"/>
      <c r="D66" s="73"/>
      <c r="E66" s="73"/>
      <c r="F66" s="73"/>
      <c r="G66" s="73"/>
      <c r="H66" s="73"/>
      <c r="I66" s="28"/>
      <c r="J66" s="28"/>
      <c r="K66" s="28"/>
      <c r="L66" s="28"/>
    </row>
    <row r="67" spans="1:12" s="65" customFormat="1" x14ac:dyDescent="0.2">
      <c r="A67" s="73"/>
      <c r="B67" s="73"/>
      <c r="C67" s="73"/>
      <c r="D67" s="73"/>
      <c r="E67" s="73"/>
      <c r="F67" s="73"/>
      <c r="G67" s="73"/>
      <c r="H67" s="73"/>
      <c r="I67" s="28"/>
      <c r="J67" s="28"/>
      <c r="K67" s="28"/>
      <c r="L67" s="28"/>
    </row>
    <row r="68" spans="1:12" s="65" customFormat="1" x14ac:dyDescent="0.2">
      <c r="A68" s="73"/>
      <c r="B68" s="73"/>
      <c r="C68" s="73"/>
      <c r="D68" s="73"/>
      <c r="E68" s="73"/>
      <c r="F68" s="73"/>
      <c r="G68" s="73"/>
      <c r="H68" s="73"/>
      <c r="I68" s="28"/>
      <c r="J68" s="28"/>
      <c r="K68" s="28"/>
      <c r="L68" s="28"/>
    </row>
    <row r="69" spans="1:12" s="65" customFormat="1" x14ac:dyDescent="0.2">
      <c r="A69" s="28"/>
      <c r="B69" s="28"/>
      <c r="C69" s="28"/>
      <c r="D69" s="28"/>
      <c r="E69" s="28"/>
      <c r="F69" s="28"/>
      <c r="G69" s="28"/>
      <c r="H69" s="28"/>
      <c r="I69" s="28"/>
      <c r="J69" s="28"/>
      <c r="K69" s="28"/>
      <c r="L69" s="28"/>
    </row>
    <row r="70" spans="1:12" s="65" customFormat="1" x14ac:dyDescent="0.2">
      <c r="A70" s="28"/>
      <c r="B70" s="28"/>
      <c r="C70" s="28"/>
      <c r="D70" s="28"/>
      <c r="E70" s="28"/>
      <c r="F70" s="28"/>
      <c r="G70" s="28"/>
      <c r="H70" s="28"/>
      <c r="I70" s="28"/>
      <c r="J70" s="28"/>
      <c r="K70" s="28"/>
      <c r="L70" s="28"/>
    </row>
    <row r="71" spans="1:12" s="65" customFormat="1" x14ac:dyDescent="0.2">
      <c r="A71" s="28"/>
      <c r="B71" s="28"/>
      <c r="C71" s="28"/>
      <c r="D71" s="28"/>
      <c r="E71" s="28"/>
      <c r="F71" s="28"/>
      <c r="G71" s="28"/>
      <c r="H71" s="28"/>
      <c r="I71" s="28"/>
      <c r="J71" s="28"/>
      <c r="K71" s="28"/>
      <c r="L71" s="28"/>
    </row>
    <row r="72" spans="1:12" s="65" customFormat="1" x14ac:dyDescent="0.2">
      <c r="A72" s="28"/>
      <c r="B72" s="28"/>
      <c r="C72" s="28"/>
      <c r="D72" s="28"/>
      <c r="E72" s="28"/>
      <c r="F72" s="28"/>
      <c r="G72" s="28"/>
      <c r="H72" s="28"/>
      <c r="I72" s="28"/>
      <c r="J72" s="28"/>
      <c r="K72" s="28"/>
      <c r="L72" s="28"/>
    </row>
    <row r="73" spans="1:12" s="65" customFormat="1" x14ac:dyDescent="0.2">
      <c r="A73" s="28"/>
      <c r="B73" s="28"/>
      <c r="C73" s="28"/>
      <c r="D73" s="28"/>
      <c r="E73" s="28"/>
      <c r="F73" s="28"/>
      <c r="G73" s="28"/>
      <c r="H73" s="28"/>
      <c r="I73" s="28"/>
      <c r="J73" s="28"/>
      <c r="K73" s="28"/>
      <c r="L73" s="28"/>
    </row>
    <row r="74" spans="1:12" s="65" customFormat="1" x14ac:dyDescent="0.2">
      <c r="A74" s="28"/>
      <c r="B74" s="28"/>
      <c r="C74" s="28"/>
      <c r="D74" s="28"/>
      <c r="E74" s="28"/>
      <c r="F74" s="28"/>
      <c r="G74" s="28"/>
      <c r="H74" s="28"/>
      <c r="I74" s="28"/>
      <c r="J74" s="28"/>
      <c r="K74" s="28"/>
      <c r="L74" s="28"/>
    </row>
    <row r="75" spans="1:12" s="65" customFormat="1" x14ac:dyDescent="0.2">
      <c r="A75" s="28"/>
      <c r="B75" s="28"/>
      <c r="C75" s="28"/>
      <c r="D75" s="28"/>
      <c r="E75" s="28"/>
      <c r="F75" s="28"/>
      <c r="G75" s="28"/>
      <c r="H75" s="28"/>
      <c r="I75" s="28"/>
      <c r="J75" s="28"/>
      <c r="K75" s="28"/>
      <c r="L75" s="28"/>
    </row>
    <row r="76" spans="1:12" s="65" customFormat="1" x14ac:dyDescent="0.2">
      <c r="A76" s="28"/>
      <c r="B76" s="28"/>
      <c r="C76" s="28"/>
      <c r="D76" s="28"/>
      <c r="E76" s="28"/>
      <c r="F76" s="28"/>
      <c r="G76" s="28"/>
      <c r="H76" s="28"/>
      <c r="I76" s="28"/>
      <c r="J76" s="28"/>
      <c r="K76" s="28"/>
      <c r="L76" s="28"/>
    </row>
    <row r="77" spans="1:12" s="65" customFormat="1" x14ac:dyDescent="0.2">
      <c r="A77" s="28"/>
      <c r="B77" s="28"/>
      <c r="C77" s="28"/>
      <c r="D77" s="28"/>
      <c r="E77" s="28"/>
      <c r="F77" s="28"/>
      <c r="G77" s="28"/>
      <c r="H77" s="28"/>
      <c r="I77" s="28"/>
      <c r="J77" s="28"/>
      <c r="K77" s="28"/>
      <c r="L77" s="28"/>
    </row>
    <row r="78" spans="1:12" s="65" customFormat="1" x14ac:dyDescent="0.2">
      <c r="A78" s="28"/>
      <c r="B78" s="28"/>
      <c r="C78" s="28"/>
      <c r="D78" s="28"/>
      <c r="E78" s="28"/>
      <c r="F78" s="28"/>
      <c r="G78" s="28"/>
      <c r="H78" s="28"/>
      <c r="I78" s="28"/>
      <c r="J78" s="28"/>
      <c r="K78" s="28"/>
      <c r="L78" s="28"/>
    </row>
    <row r="79" spans="1:12" s="65" customFormat="1" x14ac:dyDescent="0.2">
      <c r="A79" s="28"/>
      <c r="B79" s="28"/>
      <c r="C79" s="28"/>
      <c r="D79" s="28"/>
      <c r="E79" s="28"/>
      <c r="F79" s="28"/>
      <c r="G79" s="28"/>
      <c r="H79" s="28"/>
      <c r="I79" s="28"/>
      <c r="J79" s="28"/>
      <c r="K79" s="28"/>
      <c r="L79" s="28"/>
    </row>
    <row r="80" spans="1:12" s="65" customFormat="1" x14ac:dyDescent="0.2"/>
    <row r="81" s="65" customFormat="1" x14ac:dyDescent="0.2"/>
    <row r="82" s="65" customFormat="1" x14ac:dyDescent="0.2"/>
    <row r="83" s="65" customFormat="1" x14ac:dyDescent="0.2"/>
    <row r="84" s="65" customFormat="1" x14ac:dyDescent="0.2"/>
    <row r="85" s="65" customFormat="1" x14ac:dyDescent="0.2"/>
    <row r="86" s="65" customFormat="1" x14ac:dyDescent="0.2"/>
    <row r="87" s="65" customFormat="1" x14ac:dyDescent="0.2"/>
    <row r="88" s="65" customFormat="1" x14ac:dyDescent="0.2"/>
  </sheetData>
  <sheetProtection algorithmName="SHA-512" hashValue="5ryHDspJJ+5gsCq1v4XGfkHntXD0X460xOUKou89ix8Ylap6kFusOOECbJ1GBdwdbUh6IY6jy3VmltVSJVj8zQ==" saltValue="dYar1bikNyhqVlA4W18Mww==" spinCount="100000" sheet="1" objects="1" scenarios="1"/>
  <sortState xmlns:xlrd2="http://schemas.microsoft.com/office/spreadsheetml/2017/richdata2" ref="L5:M5">
    <sortCondition ref="L4:L5"/>
  </sortState>
  <mergeCells count="5">
    <mergeCell ref="A7:B7"/>
    <mergeCell ref="C7:D7"/>
    <mergeCell ref="E7:F7"/>
    <mergeCell ref="A2:F2"/>
    <mergeCell ref="B3:F3"/>
  </mergeCells>
  <conditionalFormatting sqref="A10">
    <cfRule type="expression" dxfId="3" priority="11">
      <formula>AND($I$23=3,$B$9&lt;$K$12,OR($K$23&gt;5,AND($K$23=5,$F$9&gt;0)))</formula>
    </cfRule>
  </conditionalFormatting>
  <conditionalFormatting sqref="B10">
    <cfRule type="expression" dxfId="2" priority="12">
      <formula>AND($I$23=3,$B$9&lt;$K$12,OR($K$23&gt;5,AND($K$23=5,$F$9&gt;0)))</formula>
    </cfRule>
  </conditionalFormatting>
  <conditionalFormatting sqref="E10">
    <cfRule type="expression" dxfId="1" priority="6">
      <formula>AND($F$9&lt;$K$12,$K$23=5,$F$9&lt;&gt;0)</formula>
    </cfRule>
  </conditionalFormatting>
  <conditionalFormatting sqref="F10">
    <cfRule type="expression" dxfId="0" priority="5">
      <formula>AND($F$9&lt;$K$12,$K$23=5,$F$9&lt;&gt;0)</formula>
    </cfRule>
  </conditionalFormatting>
  <pageMargins left="0.31496062992125984" right="0.31496062992125984" top="0.39370078740157483" bottom="0.19685039370078741" header="0.31496062992125984" footer="0.31496062992125984"/>
  <pageSetup paperSize="9" fitToWidth="0"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Drop Down 3">
              <controlPr defaultSize="0" autoLine="0" autoPict="0">
                <anchor moveWithCells="1">
                  <from>
                    <xdr:col>1</xdr:col>
                    <xdr:colOff>19050</xdr:colOff>
                    <xdr:row>7</xdr:row>
                    <xdr:rowOff>19050</xdr:rowOff>
                  </from>
                  <to>
                    <xdr:col>1</xdr:col>
                    <xdr:colOff>1647825</xdr:colOff>
                    <xdr:row>7</xdr:row>
                    <xdr:rowOff>247650</xdr:rowOff>
                  </to>
                </anchor>
              </controlPr>
            </control>
          </mc:Choice>
        </mc:AlternateContent>
        <mc:AlternateContent xmlns:mc="http://schemas.openxmlformats.org/markup-compatibility/2006">
          <mc:Choice Requires="x14">
            <control shapeId="1029" r:id="rId5" name="Drop Down 5">
              <controlPr defaultSize="0" autoLine="0" autoPict="0">
                <anchor moveWithCells="1">
                  <from>
                    <xdr:col>3</xdr:col>
                    <xdr:colOff>19050</xdr:colOff>
                    <xdr:row>7</xdr:row>
                    <xdr:rowOff>19050</xdr:rowOff>
                  </from>
                  <to>
                    <xdr:col>3</xdr:col>
                    <xdr:colOff>1628775</xdr:colOff>
                    <xdr:row>8</xdr:row>
                    <xdr:rowOff>0</xdr:rowOff>
                  </to>
                </anchor>
              </controlPr>
            </control>
          </mc:Choice>
        </mc:AlternateContent>
        <mc:AlternateContent xmlns:mc="http://schemas.openxmlformats.org/markup-compatibility/2006">
          <mc:Choice Requires="x14">
            <control shapeId="1031" r:id="rId6" name="Drop Down 7">
              <controlPr defaultSize="0" autoLine="0" autoPict="0">
                <anchor moveWithCells="1">
                  <from>
                    <xdr:col>3</xdr:col>
                    <xdr:colOff>19050</xdr:colOff>
                    <xdr:row>9</xdr:row>
                    <xdr:rowOff>19050</xdr:rowOff>
                  </from>
                  <to>
                    <xdr:col>4</xdr:col>
                    <xdr:colOff>0</xdr:colOff>
                    <xdr:row>9</xdr:row>
                    <xdr:rowOff>257175</xdr:rowOff>
                  </to>
                </anchor>
              </controlPr>
            </control>
          </mc:Choice>
        </mc:AlternateContent>
        <mc:AlternateContent xmlns:mc="http://schemas.openxmlformats.org/markup-compatibility/2006">
          <mc:Choice Requires="x14">
            <control shapeId="1032" r:id="rId7" name="Drop Down 8">
              <controlPr defaultSize="0" autoLine="0" autoPict="0">
                <anchor moveWithCells="1">
                  <from>
                    <xdr:col>5</xdr:col>
                    <xdr:colOff>19050</xdr:colOff>
                    <xdr:row>7</xdr:row>
                    <xdr:rowOff>19050</xdr:rowOff>
                  </from>
                  <to>
                    <xdr:col>11</xdr:col>
                    <xdr:colOff>9525</xdr:colOff>
                    <xdr:row>7</xdr:row>
                    <xdr:rowOff>257175</xdr:rowOff>
                  </to>
                </anchor>
              </controlPr>
            </control>
          </mc:Choice>
        </mc:AlternateContent>
        <mc:AlternateContent xmlns:mc="http://schemas.openxmlformats.org/markup-compatibility/2006">
          <mc:Choice Requires="x14">
            <control shapeId="1037" r:id="rId8" name="Drop Down 13">
              <controlPr defaultSize="0" autoLine="0" autoPict="0">
                <anchor moveWithCells="1">
                  <from>
                    <xdr:col>4</xdr:col>
                    <xdr:colOff>9525</xdr:colOff>
                    <xdr:row>4</xdr:row>
                    <xdr:rowOff>0</xdr:rowOff>
                  </from>
                  <to>
                    <xdr:col>5</xdr:col>
                    <xdr:colOff>266700</xdr:colOff>
                    <xdr:row>5</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date" operator="greaterThan" allowBlank="1" showInputMessage="1" showErrorMessage="1" xr:uid="{1C1010D2-54DD-477B-8789-3B22D7AA1EDB}">
          <x14:formula1>
            <xm:f>DATE(Berechnung!$B$1,6,22)</xm:f>
          </x14:formula1>
          <xm:sqref>B10</xm:sqref>
        </x14:dataValidation>
        <x14:dataValidation type="date" operator="lessThan" allowBlank="1" showInputMessage="1" showErrorMessage="1" xr:uid="{FC9DEE4D-7E88-4597-BDFB-4E3CFBFC5BE3}">
          <x14:formula1>
            <xm:f>DATE(Berechnung!B1+1,1,1)</xm:f>
          </x14:formula1>
          <xm:sqref>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BBE21-D50C-44E9-90B5-D09441EB4D6D}">
  <dimension ref="A1:L47"/>
  <sheetViews>
    <sheetView workbookViewId="0">
      <selection activeCell="B20" sqref="B20"/>
    </sheetView>
  </sheetViews>
  <sheetFormatPr baseColWidth="10" defaultColWidth="11.42578125" defaultRowHeight="14.25" x14ac:dyDescent="0.2"/>
  <cols>
    <col min="1" max="1" width="15.5703125" style="28" customWidth="1"/>
    <col min="2" max="2" width="24" style="28" customWidth="1"/>
    <col min="3" max="3" width="21.140625" style="28" customWidth="1"/>
    <col min="4" max="4" width="23.85546875" style="28" customWidth="1"/>
    <col min="5" max="5" width="20.140625" style="28" customWidth="1"/>
    <col min="6" max="6" width="24" style="28" customWidth="1"/>
    <col min="7" max="7" width="23.5703125" style="28" customWidth="1"/>
    <col min="8" max="11" width="11.42578125" style="28" customWidth="1"/>
    <col min="12" max="12" width="13" style="28" customWidth="1"/>
    <col min="13" max="14" width="11.42578125" style="28" customWidth="1"/>
    <col min="15" max="15" width="12.140625" style="28" customWidth="1"/>
    <col min="16" max="44" width="11.42578125" style="28" customWidth="1"/>
    <col min="45" max="16384" width="11.42578125" style="28"/>
  </cols>
  <sheetData>
    <row r="1" spans="1:12" s="71" customFormat="1" x14ac:dyDescent="0.2">
      <c r="A1" s="73"/>
      <c r="B1" s="73"/>
      <c r="C1" s="73"/>
      <c r="D1" s="73"/>
      <c r="E1" s="73"/>
      <c r="F1" s="73"/>
      <c r="G1" s="73"/>
      <c r="H1" s="73"/>
      <c r="I1" s="28"/>
      <c r="J1" s="28"/>
      <c r="K1" s="28"/>
      <c r="L1" s="28"/>
    </row>
    <row r="2" spans="1:12" s="65" customFormat="1" x14ac:dyDescent="0.2">
      <c r="A2" s="73"/>
      <c r="B2" s="73" t="s">
        <v>10</v>
      </c>
      <c r="C2" s="73"/>
      <c r="D2" s="73"/>
      <c r="E2" s="73"/>
      <c r="F2" s="73"/>
      <c r="G2" s="73"/>
      <c r="H2" s="73"/>
      <c r="I2" s="28"/>
      <c r="J2" s="28"/>
      <c r="K2" s="28"/>
      <c r="L2" s="28"/>
    </row>
    <row r="3" spans="1:12" s="65" customFormat="1" x14ac:dyDescent="0.2">
      <c r="A3" s="73"/>
      <c r="B3" s="73" t="str">
        <f>IF(OR(AND('Düngung möglich'!$G$19&lt;3,E3&gt;0),'Düngung möglich'!G23=1),'Düngung möglich'!B23," ")</f>
        <v xml:space="preserve"> </v>
      </c>
      <c r="C3" s="73">
        <f>IF(OR('Düngung möglich'!$G$19&lt;3,'Düngung möglich'!$G$23=1),'Düngung möglich'!C23,0)</f>
        <v>0</v>
      </c>
      <c r="D3" s="73">
        <f>IF(OR('Düngung möglich'!$G$19&lt;3,'Düngung möglich'!$G$23=1),'Düngung möglich'!D23,0)</f>
        <v>0</v>
      </c>
      <c r="E3" s="73">
        <f>IF(OR('Düngung möglich'!$G$19&lt;3,'Düngung möglich'!$G$23=1),'Düngung möglich'!E23,0)</f>
        <v>0</v>
      </c>
      <c r="F3" s="73"/>
      <c r="G3" s="73"/>
      <c r="H3" s="73"/>
      <c r="I3" s="28"/>
      <c r="J3" s="28"/>
      <c r="K3" s="28"/>
      <c r="L3" s="28"/>
    </row>
    <row r="4" spans="1:12" s="65" customFormat="1" x14ac:dyDescent="0.2">
      <c r="A4" s="73"/>
      <c r="B4" s="73" t="str">
        <f>IF(AND('Düngung möglich'!$G$19=3,E4&gt;0),'Düngung möglich'!B24," ")</f>
        <v>Getreide (Drusch)</v>
      </c>
      <c r="C4" s="73"/>
      <c r="D4" s="73"/>
      <c r="E4" s="73">
        <f>IF('Düngung möglich'!$G$19=3,'Düngung möglich'!E24,0)</f>
        <v>62</v>
      </c>
      <c r="F4" s="73"/>
      <c r="G4" s="73"/>
      <c r="H4" s="73"/>
      <c r="I4" s="28"/>
      <c r="J4" s="28"/>
      <c r="K4" s="28"/>
      <c r="L4" s="28"/>
    </row>
    <row r="5" spans="1:12" s="65" customFormat="1" x14ac:dyDescent="0.2">
      <c r="A5" s="73"/>
      <c r="B5" s="73"/>
      <c r="C5" s="73"/>
      <c r="D5" s="73"/>
      <c r="E5" s="73">
        <f>IF('Düngung möglich'!$G$19=3,'Düngung möglich'!E25,0)</f>
        <v>32</v>
      </c>
      <c r="F5" s="73"/>
      <c r="G5" s="73"/>
      <c r="H5" s="73"/>
      <c r="I5" s="28"/>
      <c r="J5" s="28"/>
      <c r="K5" s="28"/>
      <c r="L5" s="28"/>
    </row>
    <row r="6" spans="1:12" s="65" customFormat="1" x14ac:dyDescent="0.2">
      <c r="A6" s="73"/>
      <c r="B6" s="73" t="str">
        <f>IF(AND('Düngung möglich'!$G$19=3,E6&gt;0),'Düngung möglich'!B26," ")</f>
        <v xml:space="preserve"> </v>
      </c>
      <c r="C6" s="73"/>
      <c r="D6" s="73"/>
      <c r="E6" s="73">
        <f>IF('Düngung möglich'!$G$19=3,'Düngung möglich'!E26,0)</f>
        <v>0</v>
      </c>
      <c r="F6" s="73"/>
      <c r="G6" s="73"/>
      <c r="H6" s="73"/>
      <c r="I6" s="28"/>
      <c r="J6" s="28"/>
      <c r="K6" s="28"/>
      <c r="L6" s="28"/>
    </row>
    <row r="7" spans="1:12" s="65" customFormat="1" x14ac:dyDescent="0.2">
      <c r="A7" s="73"/>
      <c r="B7" s="73" t="str">
        <f>IF(AND('Düngung möglich'!$G$19=3,E7&gt;0),'Düngung möglich'!B27," ")</f>
        <v xml:space="preserve"> </v>
      </c>
      <c r="C7" s="73"/>
      <c r="D7" s="73"/>
      <c r="E7" s="73">
        <f>IF('Düngung möglich'!$G$19=3,'Düngung möglich'!E27,0)</f>
        <v>0</v>
      </c>
      <c r="F7" s="73"/>
      <c r="G7" s="73"/>
      <c r="H7" s="73"/>
      <c r="I7" s="28"/>
      <c r="J7" s="28"/>
      <c r="K7" s="28"/>
      <c r="L7" s="28"/>
    </row>
    <row r="8" spans="1:12" s="65" customFormat="1" x14ac:dyDescent="0.2">
      <c r="A8" s="73"/>
      <c r="B8" s="73"/>
      <c r="C8" s="73"/>
      <c r="D8" s="73"/>
      <c r="E8" s="73">
        <f>IF('Düngung möglich'!$G$19=3,'Düngung möglich'!E28,0)</f>
        <v>0</v>
      </c>
      <c r="F8" s="73"/>
      <c r="G8" s="73"/>
      <c r="H8" s="73"/>
      <c r="I8" s="28"/>
      <c r="J8" s="28"/>
      <c r="K8" s="28"/>
      <c r="L8" s="28"/>
    </row>
    <row r="9" spans="1:12" s="65" customFormat="1" x14ac:dyDescent="0.2">
      <c r="A9" s="73"/>
      <c r="B9" s="73" t="str">
        <f>IF(AND('Düngung möglich'!$G$19=3,E9&gt;15),'Düngung möglich'!B29," ")</f>
        <v>W-Gerste (Drusch)</v>
      </c>
      <c r="C9" s="73"/>
      <c r="D9" s="73"/>
      <c r="E9" s="73">
        <f>IF('Düngung möglich'!$G$19=3,'Düngung möglich'!E29,0)</f>
        <v>211</v>
      </c>
      <c r="F9" s="73"/>
      <c r="G9" s="73"/>
      <c r="H9" s="73"/>
      <c r="I9" s="28"/>
      <c r="J9" s="28"/>
      <c r="K9" s="28"/>
      <c r="L9" s="28"/>
    </row>
    <row r="10" spans="1:12" s="65" customFormat="1" x14ac:dyDescent="0.2">
      <c r="A10" s="73"/>
      <c r="B10" s="28" t="str">
        <f>IF(AND('Düngung möglich'!$G$19=3,C10&gt;0),'Düngung möglich'!A30," ")</f>
        <v>DBE VF</v>
      </c>
      <c r="C10" s="73">
        <f>IF('Düngung möglich'!$G$19=3,'Düngung möglich'!C30,0)</f>
        <v>62</v>
      </c>
      <c r="D10" s="28"/>
      <c r="E10" s="73"/>
      <c r="F10" s="73"/>
      <c r="G10" s="73"/>
      <c r="H10" s="73"/>
      <c r="I10" s="28"/>
      <c r="J10" s="28"/>
      <c r="K10" s="28"/>
      <c r="L10" s="28"/>
    </row>
    <row r="11" spans="1:12" s="65" customFormat="1" x14ac:dyDescent="0.2">
      <c r="A11" s="73"/>
      <c r="B11" s="73" t="str">
        <f>IF(AND('Düngung möglich'!$G$19=3,D11&gt;0),'Düngung möglich'!B30," ")</f>
        <v>DBE VF</v>
      </c>
      <c r="C11" s="73"/>
      <c r="D11" s="73">
        <f>IF('Düngung möglich'!$G$19=3,'Düngung möglich'!D30,0)</f>
        <v>62</v>
      </c>
      <c r="E11" s="73"/>
      <c r="F11" s="73"/>
      <c r="G11" s="73"/>
      <c r="H11" s="73"/>
      <c r="I11" s="28"/>
      <c r="J11" s="28"/>
      <c r="K11" s="28"/>
      <c r="L11" s="28"/>
    </row>
    <row r="12" spans="1:12" s="65" customFormat="1" x14ac:dyDescent="0.2">
      <c r="A12" s="73"/>
      <c r="B12" s="73" t="str">
        <f>IF(AND('Düngung möglich'!$G$19=3,D12&gt;0),'Düngung möglich'!B31," ")</f>
        <v xml:space="preserve"> </v>
      </c>
      <c r="C12" s="73"/>
      <c r="D12" s="73">
        <f>IF('Düngung möglich'!$G$19=3,'Düngung möglich'!D31,0)</f>
        <v>0</v>
      </c>
      <c r="E12" s="73"/>
      <c r="F12" s="73"/>
      <c r="G12" s="73"/>
      <c r="H12" s="73"/>
      <c r="I12" s="28"/>
      <c r="J12" s="28"/>
      <c r="K12" s="28"/>
      <c r="L12" s="28"/>
    </row>
    <row r="13" spans="1:12" s="65" customFormat="1" x14ac:dyDescent="0.2">
      <c r="A13" s="73"/>
      <c r="B13" s="73" t="str">
        <f>IF(AND('Düngung möglich'!$G$19=3,D13&gt;0),'Düngung möglich'!B32," ")</f>
        <v xml:space="preserve"> </v>
      </c>
      <c r="C13" s="73"/>
      <c r="D13" s="73">
        <f>IF('Düngung möglich'!$G$19=3,'Düngung möglich'!D32,0)</f>
        <v>0</v>
      </c>
      <c r="E13" s="73"/>
      <c r="F13" s="73"/>
      <c r="G13" s="73"/>
      <c r="H13" s="73"/>
      <c r="I13" s="28"/>
      <c r="J13" s="28"/>
      <c r="K13" s="28"/>
      <c r="L13" s="28"/>
    </row>
    <row r="14" spans="1:12" s="65" customFormat="1" x14ac:dyDescent="0.2">
      <c r="A14" s="73"/>
      <c r="B14" s="73" t="str">
        <f>IF(AND('Düngung möglich'!$G$19=3,D14&gt;0),'Düngung möglich'!B33," ")</f>
        <v>praxisübliche Menge</v>
      </c>
      <c r="C14" s="73"/>
      <c r="D14" s="73">
        <f>IF('Düngung möglich'!$G$19=3,'Düngung möglich'!D33,0)</f>
        <v>122</v>
      </c>
      <c r="E14" s="73"/>
      <c r="F14" s="73"/>
      <c r="G14" s="73"/>
      <c r="H14" s="73"/>
      <c r="I14" s="28"/>
      <c r="J14" s="28"/>
      <c r="K14" s="28"/>
      <c r="L14" s="28"/>
    </row>
    <row r="15" spans="1:12" s="65" customFormat="1" x14ac:dyDescent="0.2">
      <c r="A15" s="73"/>
      <c r="B15" s="73" t="str">
        <f>IF(AND('Düngung möglich'!$G$19=3,D15&gt;0),'Düngung möglich'!B34," ")</f>
        <v>Sperrfrist (N) 01.12. - 15.01.</v>
      </c>
      <c r="C15" s="73"/>
      <c r="D15" s="73">
        <f>IF('Düngung möglich'!$G$19=3,'Düngung möglich'!D34,0)</f>
        <v>45</v>
      </c>
      <c r="E15" s="73"/>
      <c r="F15" s="73"/>
      <c r="G15" s="73"/>
      <c r="H15" s="73"/>
      <c r="I15" s="28"/>
      <c r="J15" s="28"/>
      <c r="K15" s="28"/>
      <c r="L15" s="28"/>
    </row>
    <row r="16" spans="1:12" s="65" customFormat="1" x14ac:dyDescent="0.2">
      <c r="A16" s="73"/>
      <c r="B16" s="73" t="str">
        <f>IF(AND('Düngung möglich'!$G$19=3,D16&gt;0),'Düngung möglich'!B35," ")</f>
        <v>DBE-HF</v>
      </c>
      <c r="C16" s="73"/>
      <c r="D16" s="73">
        <f>IF('Düngung möglich'!$G$19=3,'Düngung möglich'!D35,0)</f>
        <v>76</v>
      </c>
      <c r="E16" s="73"/>
      <c r="F16" s="73"/>
      <c r="G16" s="73"/>
      <c r="H16" s="73"/>
      <c r="I16" s="28"/>
      <c r="J16" s="28"/>
      <c r="K16" s="28"/>
      <c r="L16" s="28"/>
    </row>
    <row r="17" spans="1:12" s="65" customFormat="1" x14ac:dyDescent="0.2">
      <c r="A17" s="73"/>
      <c r="B17" s="73" t="str">
        <f>IF(AND('Düngung möglich'!$G$19=3,C17&gt;0),'Düngung möglich'!B36," ")</f>
        <v xml:space="preserve"> </v>
      </c>
      <c r="C17" s="73">
        <f>IF('Düngung möglich'!$G$19=3,'Düngung möglich'!C36,0)</f>
        <v>0</v>
      </c>
      <c r="D17" s="73"/>
      <c r="E17" s="73"/>
      <c r="F17" s="73"/>
      <c r="G17" s="73"/>
      <c r="H17" s="73"/>
      <c r="I17" s="28"/>
      <c r="J17" s="28"/>
      <c r="K17" s="28"/>
      <c r="L17" s="28"/>
    </row>
    <row r="18" spans="1:12" s="65" customFormat="1" x14ac:dyDescent="0.2">
      <c r="A18" s="73"/>
      <c r="B18" s="73" t="str">
        <f>IF(AND('Düngung möglich'!$G$19=3,C18&gt;0),'Düngung möglich'!B37," ")</f>
        <v xml:space="preserve"> </v>
      </c>
      <c r="C18" s="73">
        <f>IF('Düngung möglich'!$G$19=3,'Düngung möglich'!C37,0)</f>
        <v>0</v>
      </c>
      <c r="D18" s="73"/>
      <c r="E18" s="73"/>
      <c r="F18" s="73"/>
      <c r="G18" s="73"/>
      <c r="H18" s="73"/>
      <c r="I18" s="28"/>
      <c r="J18" s="28"/>
      <c r="K18" s="28"/>
      <c r="L18" s="28"/>
    </row>
    <row r="19" spans="1:12" s="65" customFormat="1" x14ac:dyDescent="0.2">
      <c r="A19" s="73"/>
      <c r="B19" s="73" t="str">
        <f>IF(AND('Düngung möglich'!$G$19=3,C19&gt;0),'Düngung möglich'!B38," ")</f>
        <v>30/60 kg N</v>
      </c>
      <c r="C19" s="73">
        <f>IF('Düngung möglich'!$G$19=3,'Düngung möglich'!C38,0)</f>
        <v>62</v>
      </c>
      <c r="D19" s="73"/>
      <c r="E19" s="73"/>
      <c r="F19" s="73"/>
      <c r="G19" s="73"/>
      <c r="H19" s="73"/>
      <c r="I19" s="28"/>
      <c r="J19" s="28"/>
      <c r="K19" s="28"/>
      <c r="L19" s="28"/>
    </row>
    <row r="20" spans="1:12" s="65" customFormat="1" x14ac:dyDescent="0.2">
      <c r="A20" s="73"/>
      <c r="B20" s="73" t="str">
        <f>IF(AND('Düngung möglich'!$G$19=3,C20&gt;0),'Düngung möglich'!B39," ")</f>
        <v>Sperrfrist (N) 02.10. - 31.01.</v>
      </c>
      <c r="C20" s="73">
        <f>IF('Düngung möglich'!$G$19=3,'Düngung möglich'!C39,0)</f>
        <v>121</v>
      </c>
      <c r="D20" s="73"/>
      <c r="E20" s="73"/>
      <c r="F20" s="73"/>
      <c r="G20" s="73"/>
      <c r="H20" s="73"/>
      <c r="I20" s="28"/>
      <c r="J20" s="28"/>
      <c r="K20" s="28"/>
      <c r="L20" s="28"/>
    </row>
    <row r="21" spans="1:12" s="65" customFormat="1" x14ac:dyDescent="0.2">
      <c r="A21" s="73"/>
      <c r="B21" s="73" t="str">
        <f>IF(AND('Düngung möglich'!$G$19=3,C21&gt;0),'Düngung möglich'!B40," ")</f>
        <v>DBE-HF</v>
      </c>
      <c r="C21" s="73">
        <f>IF('Düngung möglich'!$G$19=3,'Düngung möglich'!C40,0)</f>
        <v>60</v>
      </c>
      <c r="D21" s="73"/>
      <c r="E21" s="73"/>
      <c r="F21" s="73"/>
      <c r="G21" s="73"/>
      <c r="H21" s="73"/>
      <c r="I21" s="28"/>
      <c r="J21" s="28"/>
      <c r="K21" s="28"/>
      <c r="L21" s="28"/>
    </row>
    <row r="22" spans="1:12" s="65" customFormat="1" x14ac:dyDescent="0.2">
      <c r="A22" s="73"/>
      <c r="B22" s="73"/>
      <c r="C22" s="73"/>
      <c r="D22" s="73"/>
      <c r="E22" s="73"/>
      <c r="F22" s="73"/>
      <c r="G22" s="73"/>
      <c r="H22" s="73"/>
      <c r="I22" s="28"/>
      <c r="J22" s="28"/>
      <c r="K22" s="28"/>
      <c r="L22" s="28"/>
    </row>
    <row r="23" spans="1:12" s="65" customFormat="1" x14ac:dyDescent="0.2">
      <c r="A23" s="73"/>
      <c r="B23" s="73"/>
      <c r="C23" s="73"/>
      <c r="D23" s="73"/>
      <c r="E23" s="73"/>
      <c r="F23" s="73"/>
      <c r="G23" s="73"/>
      <c r="H23" s="73"/>
      <c r="I23" s="28"/>
      <c r="J23" s="28"/>
      <c r="K23" s="28"/>
      <c r="L23" s="28"/>
    </row>
    <row r="24" spans="1:12" s="65" customFormat="1" x14ac:dyDescent="0.2">
      <c r="A24" s="73"/>
      <c r="B24" s="73"/>
      <c r="C24" s="73"/>
      <c r="D24" s="73"/>
      <c r="E24" s="73"/>
      <c r="F24" s="73"/>
      <c r="G24" s="73"/>
      <c r="H24" s="73"/>
      <c r="I24" s="28"/>
      <c r="J24" s="28"/>
      <c r="K24" s="28"/>
      <c r="L24" s="28"/>
    </row>
    <row r="25" spans="1:12" s="65" customFormat="1" x14ac:dyDescent="0.2">
      <c r="A25" s="73"/>
      <c r="B25" s="73"/>
      <c r="C25" s="73"/>
      <c r="D25" s="73"/>
      <c r="E25" s="73"/>
      <c r="F25" s="73"/>
      <c r="G25" s="73"/>
      <c r="H25" s="73"/>
      <c r="I25" s="28"/>
      <c r="J25" s="28"/>
      <c r="K25" s="28"/>
      <c r="L25" s="28"/>
    </row>
    <row r="26" spans="1:12" s="65" customFormat="1" x14ac:dyDescent="0.2">
      <c r="A26" s="73"/>
      <c r="B26" s="73"/>
      <c r="C26" s="73"/>
      <c r="D26" s="73"/>
      <c r="E26" s="73"/>
      <c r="F26" s="73"/>
      <c r="G26" s="73"/>
      <c r="H26" s="73"/>
      <c r="I26" s="28"/>
      <c r="J26" s="28"/>
      <c r="K26" s="28"/>
      <c r="L26" s="28"/>
    </row>
    <row r="27" spans="1:12" s="65" customFormat="1" x14ac:dyDescent="0.2">
      <c r="A27" s="73"/>
      <c r="B27" s="73"/>
      <c r="C27" s="73"/>
      <c r="D27" s="73"/>
      <c r="E27" s="73"/>
      <c r="F27" s="73"/>
      <c r="G27" s="73"/>
      <c r="H27" s="73"/>
      <c r="I27" s="28"/>
      <c r="J27" s="28"/>
      <c r="K27" s="28"/>
      <c r="L27" s="28"/>
    </row>
    <row r="28" spans="1:12" s="65" customFormat="1" x14ac:dyDescent="0.2">
      <c r="A28" s="28"/>
      <c r="B28" s="28"/>
      <c r="C28" s="28"/>
      <c r="D28" s="28"/>
      <c r="E28" s="28"/>
      <c r="F28" s="28"/>
      <c r="G28" s="28"/>
      <c r="H28" s="28"/>
      <c r="I28" s="28"/>
      <c r="J28" s="28"/>
      <c r="K28" s="28"/>
      <c r="L28" s="28"/>
    </row>
    <row r="29" spans="1:12" s="65" customFormat="1" x14ac:dyDescent="0.2">
      <c r="A29" s="28"/>
      <c r="B29" s="28"/>
      <c r="C29" s="28"/>
      <c r="D29" s="28"/>
      <c r="E29" s="28"/>
      <c r="F29" s="28"/>
      <c r="G29" s="28"/>
      <c r="H29" s="28"/>
      <c r="I29" s="28"/>
      <c r="J29" s="28"/>
      <c r="K29" s="28"/>
      <c r="L29" s="28"/>
    </row>
    <row r="30" spans="1:12" s="65" customFormat="1" x14ac:dyDescent="0.2">
      <c r="A30" s="28"/>
      <c r="B30" s="28"/>
      <c r="C30" s="28"/>
      <c r="D30" s="28"/>
      <c r="E30" s="28"/>
      <c r="F30" s="28"/>
      <c r="G30" s="28"/>
      <c r="H30" s="28"/>
      <c r="I30" s="28"/>
      <c r="J30" s="28"/>
      <c r="K30" s="28"/>
      <c r="L30" s="28"/>
    </row>
    <row r="31" spans="1:12" s="65" customFormat="1" x14ac:dyDescent="0.2">
      <c r="A31" s="28"/>
      <c r="B31" s="28"/>
      <c r="C31" s="28"/>
      <c r="D31" s="28"/>
      <c r="E31" s="28"/>
      <c r="F31" s="28"/>
      <c r="G31" s="28"/>
      <c r="H31" s="28"/>
      <c r="I31" s="28"/>
      <c r="J31" s="28"/>
      <c r="K31" s="28"/>
      <c r="L31" s="28"/>
    </row>
    <row r="32" spans="1:12" s="65" customFormat="1" x14ac:dyDescent="0.2">
      <c r="A32" s="28"/>
      <c r="B32" s="28"/>
      <c r="C32" s="28"/>
      <c r="D32" s="28"/>
      <c r="E32" s="28"/>
      <c r="F32" s="28"/>
      <c r="G32" s="28"/>
      <c r="H32" s="28"/>
      <c r="I32" s="28"/>
      <c r="J32" s="28"/>
      <c r="K32" s="28"/>
      <c r="L32" s="28"/>
    </row>
    <row r="33" spans="1:12" s="65" customFormat="1" x14ac:dyDescent="0.2">
      <c r="A33" s="28"/>
      <c r="B33" s="28"/>
      <c r="C33" s="28"/>
      <c r="D33" s="28"/>
      <c r="E33" s="28"/>
      <c r="F33" s="28"/>
      <c r="G33" s="28"/>
      <c r="H33" s="28"/>
      <c r="I33" s="28"/>
      <c r="J33" s="28"/>
      <c r="K33" s="28"/>
      <c r="L33" s="28"/>
    </row>
    <row r="34" spans="1:12" s="65" customFormat="1" x14ac:dyDescent="0.2">
      <c r="A34" s="28"/>
      <c r="B34" s="28"/>
      <c r="C34" s="28"/>
      <c r="D34" s="28"/>
      <c r="E34" s="28"/>
      <c r="F34" s="28"/>
      <c r="G34" s="28"/>
      <c r="H34" s="28"/>
      <c r="I34" s="28"/>
      <c r="J34" s="28"/>
      <c r="K34" s="28"/>
      <c r="L34" s="28"/>
    </row>
    <row r="35" spans="1:12" s="65" customFormat="1" x14ac:dyDescent="0.2">
      <c r="A35" s="28"/>
      <c r="B35" s="28"/>
      <c r="C35" s="28"/>
      <c r="D35" s="28"/>
      <c r="E35" s="28"/>
      <c r="F35" s="28"/>
      <c r="G35" s="28"/>
      <c r="H35" s="28"/>
      <c r="I35" s="28"/>
      <c r="J35" s="28"/>
      <c r="K35" s="28"/>
      <c r="L35" s="28"/>
    </row>
    <row r="36" spans="1:12" s="65" customFormat="1" x14ac:dyDescent="0.2">
      <c r="A36" s="28"/>
      <c r="B36" s="28"/>
      <c r="C36" s="28"/>
      <c r="D36" s="28"/>
      <c r="E36" s="28"/>
      <c r="F36" s="28"/>
      <c r="G36" s="28"/>
      <c r="H36" s="28"/>
      <c r="I36" s="28"/>
      <c r="J36" s="28"/>
      <c r="K36" s="28"/>
      <c r="L36" s="28"/>
    </row>
    <row r="37" spans="1:12" s="65" customFormat="1" x14ac:dyDescent="0.2">
      <c r="A37" s="28"/>
      <c r="B37" s="28"/>
      <c r="C37" s="28"/>
      <c r="D37" s="28"/>
      <c r="E37" s="28"/>
      <c r="F37" s="28"/>
      <c r="G37" s="28"/>
      <c r="H37" s="28"/>
      <c r="I37" s="28"/>
      <c r="J37" s="28"/>
      <c r="K37" s="28"/>
      <c r="L37" s="28"/>
    </row>
    <row r="38" spans="1:12" s="65" customFormat="1" x14ac:dyDescent="0.2">
      <c r="A38" s="28"/>
      <c r="B38" s="28"/>
      <c r="C38" s="28"/>
      <c r="D38" s="28"/>
      <c r="E38" s="28"/>
      <c r="F38" s="28"/>
      <c r="G38" s="28"/>
      <c r="H38" s="28"/>
      <c r="I38" s="28"/>
      <c r="J38" s="28"/>
      <c r="K38" s="28"/>
      <c r="L38" s="28"/>
    </row>
    <row r="39" spans="1:12" s="65" customFormat="1" x14ac:dyDescent="0.2"/>
    <row r="40" spans="1:12" s="65" customFormat="1" x14ac:dyDescent="0.2"/>
    <row r="41" spans="1:12" s="65" customFormat="1" x14ac:dyDescent="0.2"/>
    <row r="42" spans="1:12" s="65" customFormat="1" x14ac:dyDescent="0.2"/>
    <row r="43" spans="1:12" s="65" customFormat="1" x14ac:dyDescent="0.2"/>
    <row r="44" spans="1:12" s="65" customFormat="1" x14ac:dyDescent="0.2"/>
    <row r="45" spans="1:12" s="65" customFormat="1" x14ac:dyDescent="0.2"/>
    <row r="46" spans="1:12" s="65" customFormat="1" x14ac:dyDescent="0.2"/>
    <row r="47" spans="1:12" s="65" customFormat="1" x14ac:dyDescent="0.2"/>
  </sheetData>
  <pageMargins left="0.31496062992125984" right="0.31496062992125984" top="0.39370078740157483" bottom="0.19685039370078741"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51621-28CD-499E-9333-EECDE2C47AFD}">
  <dimension ref="A2:A18"/>
  <sheetViews>
    <sheetView workbookViewId="0">
      <selection activeCell="B21" sqref="B21"/>
    </sheetView>
  </sheetViews>
  <sheetFormatPr baseColWidth="10" defaultRowHeight="15" x14ac:dyDescent="0.25"/>
  <sheetData>
    <row r="2" spans="1:1" x14ac:dyDescent="0.25">
      <c r="A2" t="s">
        <v>86</v>
      </c>
    </row>
    <row r="3" spans="1:1" x14ac:dyDescent="0.25">
      <c r="A3" t="s">
        <v>84</v>
      </c>
    </row>
    <row r="4" spans="1:1" x14ac:dyDescent="0.25">
      <c r="A4" t="s">
        <v>82</v>
      </c>
    </row>
    <row r="5" spans="1:1" x14ac:dyDescent="0.25">
      <c r="A5" t="s">
        <v>83</v>
      </c>
    </row>
    <row r="7" spans="1:1" x14ac:dyDescent="0.25">
      <c r="A7" t="s">
        <v>85</v>
      </c>
    </row>
    <row r="8" spans="1:1" x14ac:dyDescent="0.25">
      <c r="A8" t="s">
        <v>91</v>
      </c>
    </row>
    <row r="9" spans="1:1" x14ac:dyDescent="0.25">
      <c r="A9" t="s">
        <v>87</v>
      </c>
    </row>
    <row r="10" spans="1:1" x14ac:dyDescent="0.25">
      <c r="A10" t="s">
        <v>88</v>
      </c>
    </row>
    <row r="11" spans="1:1" x14ac:dyDescent="0.25">
      <c r="A11" t="s">
        <v>90</v>
      </c>
    </row>
    <row r="12" spans="1:1" x14ac:dyDescent="0.25">
      <c r="A12" t="s">
        <v>89</v>
      </c>
    </row>
    <row r="13" spans="1:1" x14ac:dyDescent="0.25">
      <c r="A13" t="s">
        <v>92</v>
      </c>
    </row>
    <row r="14" spans="1:1" x14ac:dyDescent="0.25">
      <c r="A14" t="s">
        <v>106</v>
      </c>
    </row>
    <row r="16" spans="1:1" x14ac:dyDescent="0.25">
      <c r="A16" t="s">
        <v>104</v>
      </c>
    </row>
    <row r="18" spans="1:1" x14ac:dyDescent="0.25">
      <c r="A18" t="s">
        <v>105</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DC671-9E9E-4BA4-85DE-73C37C759130}">
  <dimension ref="A1:AD45"/>
  <sheetViews>
    <sheetView workbookViewId="0">
      <selection activeCell="B2" sqref="B2"/>
    </sheetView>
  </sheetViews>
  <sheetFormatPr baseColWidth="10" defaultRowHeight="15" x14ac:dyDescent="0.25"/>
  <cols>
    <col min="1" max="1" width="18.5703125" customWidth="1"/>
    <col min="25" max="25" width="15" customWidth="1"/>
  </cols>
  <sheetData>
    <row r="1" spans="1:30" x14ac:dyDescent="0.25">
      <c r="A1" t="s">
        <v>110</v>
      </c>
      <c r="B1" s="72">
        <v>2026</v>
      </c>
    </row>
    <row r="2" spans="1:30" x14ac:dyDescent="0.25">
      <c r="A2" s="1"/>
      <c r="B2" s="1"/>
      <c r="C2" s="1"/>
      <c r="D2" s="1"/>
      <c r="E2" s="1"/>
      <c r="F2" s="1"/>
    </row>
    <row r="3" spans="1:30" x14ac:dyDescent="0.25">
      <c r="A3" s="8" t="s">
        <v>5</v>
      </c>
      <c r="B3" s="1"/>
      <c r="C3" s="1"/>
      <c r="D3" s="1"/>
      <c r="E3" s="1"/>
      <c r="F3" s="1"/>
    </row>
    <row r="4" spans="1:30" x14ac:dyDescent="0.25">
      <c r="B4" s="1"/>
      <c r="C4" s="7" t="s">
        <v>1</v>
      </c>
      <c r="D4" s="3">
        <f>+'Düngung möglich'!J22</f>
        <v>2</v>
      </c>
      <c r="E4" s="1" t="str" cm="1">
        <f t="array" ref="E4">INDEX(Rohdaten!A2:A6,D4)</f>
        <v>nein</v>
      </c>
      <c r="F4" s="1" t="str">
        <f>+'Düngung möglich'!D5</f>
        <v>Sperrfrist FF+GL</v>
      </c>
      <c r="G4" s="1">
        <f>+'Düngung möglich'!K22</f>
        <v>2</v>
      </c>
      <c r="H4" s="1" t="str" cm="1">
        <f t="array" ref="H4">INDEX(Rohdaten!A8:A11,G4)</f>
        <v>keine Verschiebung</v>
      </c>
      <c r="I4">
        <f>IF(G4&lt;3,0,IF(G4=3,14,28))</f>
        <v>0</v>
      </c>
    </row>
    <row r="5" spans="1:30" x14ac:dyDescent="0.25">
      <c r="A5" s="2"/>
      <c r="B5" s="1"/>
      <c r="C5" s="3"/>
      <c r="D5" s="3"/>
      <c r="E5" s="1"/>
      <c r="F5" s="1"/>
    </row>
    <row r="6" spans="1:30" x14ac:dyDescent="0.25">
      <c r="A6" s="88" t="s">
        <v>111</v>
      </c>
      <c r="B6" s="88"/>
      <c r="D6" s="9" t="s">
        <v>112</v>
      </c>
      <c r="E6" s="9"/>
      <c r="H6" s="9" t="s">
        <v>113</v>
      </c>
      <c r="I6" s="9"/>
    </row>
    <row r="7" spans="1:30" ht="18.75" customHeight="1" x14ac:dyDescent="0.25">
      <c r="A7" t="s">
        <v>21</v>
      </c>
      <c r="B7" s="3">
        <f>+'Düngung möglich'!I23</f>
        <v>2</v>
      </c>
      <c r="C7" s="1" t="str" cm="1">
        <f t="array" ref="C7">INDEX(Rohdaten!A14:A17,B7)</f>
        <v>Getreide (Drusch)</v>
      </c>
      <c r="D7" t="s">
        <v>21</v>
      </c>
      <c r="E7" s="3">
        <f>+'Düngung möglich'!J23</f>
        <v>2</v>
      </c>
      <c r="F7" s="1" t="str" cm="1">
        <f t="array" ref="F7">INDEX(Rohdaten!A19:A24,E7)</f>
        <v>keine</v>
      </c>
      <c r="H7" s="3" t="s">
        <v>21</v>
      </c>
      <c r="I7" s="3">
        <f>+'Düngung möglich'!K23</f>
        <v>3</v>
      </c>
      <c r="J7" s="1" t="str" cm="1">
        <f t="array" ref="J7">INDEX(Rohdaten!A32:A39,I7)</f>
        <v>W-Gerste (Drusch)</v>
      </c>
    </row>
    <row r="8" spans="1:30" x14ac:dyDescent="0.25">
      <c r="A8" s="3" t="s">
        <v>22</v>
      </c>
      <c r="B8" s="6">
        <f>+'Düngung möglich'!B9</f>
        <v>46235</v>
      </c>
      <c r="D8" s="3" t="s">
        <v>2</v>
      </c>
      <c r="E8" s="3">
        <f>+'Düngung möglich'!D9</f>
        <v>0</v>
      </c>
      <c r="F8" s="10">
        <f>+E8</f>
        <v>0</v>
      </c>
      <c r="H8" s="3" t="s">
        <v>2</v>
      </c>
      <c r="I8" s="6">
        <f>+IF('Düngung möglich'!F9&gt;0,'Düngung möglich'!F9,     IF(Berechnung!I7&lt;5,'Düngung möglich'!F9,      IF(Berechnung!I7&gt;5,'Düngung möglich'!F9,  IF(E12&gt;0,'Düngung möglich'!F9,      IF(AND(Berechnung!K16&gt;0,Berechnung!E11&gt;0),Berechnung!E11,    IF(AND(Berechnung!N16&gt;0,E12&gt;0),E12,'Düngung möglich'!F9    ))))))</f>
        <v>46267</v>
      </c>
    </row>
    <row r="9" spans="1:30" x14ac:dyDescent="0.25">
      <c r="A9" s="3" t="s">
        <v>60</v>
      </c>
      <c r="B9" s="4">
        <f>+IF(K16&gt;0,F11,0)</f>
        <v>0</v>
      </c>
      <c r="D9" s="3" t="s">
        <v>24</v>
      </c>
      <c r="E9" s="3">
        <f>+'Düngung möglich'!J24</f>
        <v>1</v>
      </c>
      <c r="F9" s="1" t="str" cm="1">
        <f t="array" ref="F9">INDEX(Rohdaten!A26:A30,E9)</f>
        <v xml:space="preserve"> --</v>
      </c>
      <c r="H9" s="3" t="s">
        <v>80</v>
      </c>
      <c r="I9" s="4">
        <f>'Düngung möglich'!F10</f>
        <v>0</v>
      </c>
    </row>
    <row r="10" spans="1:30" x14ac:dyDescent="0.25">
      <c r="A10" s="3" t="s">
        <v>61</v>
      </c>
      <c r="B10" s="4">
        <f>MAX(B8:B9)</f>
        <v>46235</v>
      </c>
      <c r="D10" s="3" t="s">
        <v>25</v>
      </c>
      <c r="E10" s="3">
        <f>+'Düngung möglich'!J25</f>
        <v>2</v>
      </c>
      <c r="F10" s="1" t="str" cm="1">
        <f t="array" ref="F10">INDEX(Rohdaten!A41:A43,E10)</f>
        <v>Tierfutter</v>
      </c>
      <c r="H10" s="3"/>
      <c r="I10" s="3"/>
    </row>
    <row r="11" spans="1:30" x14ac:dyDescent="0.25">
      <c r="A11" s="30" t="s">
        <v>65</v>
      </c>
      <c r="B11" s="3">
        <f>+'Düngung möglich'!I24</f>
        <v>2</v>
      </c>
      <c r="D11" s="3" t="s">
        <v>27</v>
      </c>
      <c r="E11" s="3">
        <f>+'Düngung möglich'!D11</f>
        <v>0</v>
      </c>
      <c r="F11" s="10">
        <f>+E11</f>
        <v>0</v>
      </c>
      <c r="H11" s="3"/>
      <c r="I11" s="3"/>
    </row>
    <row r="12" spans="1:30" x14ac:dyDescent="0.25">
      <c r="A12" s="30" t="s">
        <v>36</v>
      </c>
      <c r="B12" s="10">
        <f>IF(AND(B7=3,I7&gt;4,B9&lt;B43),'Düngung möglich'!B10,0)</f>
        <v>0</v>
      </c>
      <c r="D12" s="3" t="str">
        <f>+'Düngung möglich'!C12</f>
        <v>Umbruchsdatum</v>
      </c>
      <c r="E12" s="3">
        <f>+IF(AND(I7=5,E7&gt;2,'Düngung möglich'!D12=0),B42,'Düngung möglich'!D12)</f>
        <v>0</v>
      </c>
      <c r="F12" s="10">
        <f>+E12</f>
        <v>0</v>
      </c>
    </row>
    <row r="13" spans="1:30" x14ac:dyDescent="0.25">
      <c r="D13" s="36" t="s">
        <v>81</v>
      </c>
      <c r="E13" s="37">
        <f>IF(AND(OR(E7=4,E7=6),K16&gt;0,E11&gt;0),E11,E12)</f>
        <v>0</v>
      </c>
      <c r="F13" s="38">
        <f>+E13</f>
        <v>0</v>
      </c>
    </row>
    <row r="14" spans="1:30" x14ac:dyDescent="0.25">
      <c r="B14" s="11" t="s">
        <v>46</v>
      </c>
      <c r="C14" s="12"/>
      <c r="D14" s="12"/>
      <c r="E14" s="13"/>
      <c r="F14" t="s">
        <v>0</v>
      </c>
      <c r="I14" s="11" t="s">
        <v>50</v>
      </c>
      <c r="J14" s="15"/>
      <c r="K14" s="16"/>
      <c r="L14" t="s">
        <v>52</v>
      </c>
      <c r="O14" t="s">
        <v>56</v>
      </c>
      <c r="Q14" s="11" t="s">
        <v>0</v>
      </c>
      <c r="R14" s="12"/>
      <c r="S14" s="13"/>
      <c r="T14" t="s">
        <v>29</v>
      </c>
      <c r="W14" t="s">
        <v>57</v>
      </c>
      <c r="Y14" t="s">
        <v>17</v>
      </c>
      <c r="AB14" t="s">
        <v>29</v>
      </c>
    </row>
    <row r="15" spans="1:30" x14ac:dyDescent="0.25">
      <c r="B15" t="s">
        <v>47</v>
      </c>
      <c r="C15" t="s">
        <v>48</v>
      </c>
      <c r="D15" t="s">
        <v>49</v>
      </c>
      <c r="E15" t="s">
        <v>51</v>
      </c>
      <c r="F15" t="s">
        <v>48</v>
      </c>
      <c r="G15" t="s">
        <v>49</v>
      </c>
      <c r="H15" t="s">
        <v>51</v>
      </c>
      <c r="I15" t="s">
        <v>48</v>
      </c>
      <c r="J15" t="s">
        <v>49</v>
      </c>
      <c r="K15" t="s">
        <v>51</v>
      </c>
      <c r="L15" t="s">
        <v>48</v>
      </c>
      <c r="M15" t="s">
        <v>49</v>
      </c>
      <c r="N15" t="s">
        <v>51</v>
      </c>
      <c r="O15" t="s">
        <v>49</v>
      </c>
      <c r="P15" t="s">
        <v>51</v>
      </c>
      <c r="Q15" t="s">
        <v>48</v>
      </c>
      <c r="R15" t="s">
        <v>49</v>
      </c>
      <c r="S15" t="s">
        <v>51</v>
      </c>
      <c r="T15" t="s">
        <v>48</v>
      </c>
      <c r="U15" t="s">
        <v>49</v>
      </c>
      <c r="V15" t="s">
        <v>51</v>
      </c>
      <c r="W15" t="s">
        <v>49</v>
      </c>
      <c r="X15" t="s">
        <v>51</v>
      </c>
      <c r="Y15" t="s">
        <v>48</v>
      </c>
      <c r="Z15" t="s">
        <v>49</v>
      </c>
      <c r="AA15" t="s">
        <v>51</v>
      </c>
      <c r="AB15" t="s">
        <v>48</v>
      </c>
      <c r="AC15" t="s">
        <v>49</v>
      </c>
      <c r="AD15" t="s">
        <v>51</v>
      </c>
    </row>
    <row r="16" spans="1:30" x14ac:dyDescent="0.25">
      <c r="A16" t="s">
        <v>8</v>
      </c>
      <c r="B16" s="10">
        <f>+'Düngung möglich'!K7</f>
        <v>46173</v>
      </c>
      <c r="C16" t="str">
        <f>+C7</f>
        <v>Getreide (Drusch)</v>
      </c>
      <c r="D16" s="10">
        <f>+B8</f>
        <v>46235</v>
      </c>
      <c r="E16" s="14">
        <f>+D16-B16</f>
        <v>62</v>
      </c>
      <c r="F16" t="s">
        <v>0</v>
      </c>
      <c r="G16" s="10">
        <f>IF(E8&gt;=B8,E8,IF('Düngung möglich'!F9&gt;=B8,'Düngung möglich'!F9,IF(OR(I7&gt;5,AND(I7=5,B7&lt;&gt;3),AND(I7=5,B7=3,'Düngung möglich'!F9&gt;0)),AC16,D16)))</f>
        <v>46267</v>
      </c>
      <c r="H16" s="14">
        <f>+G16-D16</f>
        <v>32</v>
      </c>
      <c r="I16" s="35" t="str">
        <f>IF(AND(B7=3,B8=E8,E7&gt;2,B12=0,E9=4),"Fortsetzung mehrj. Feldfutterbau als Zweitfrucht","Zweitfrucht")</f>
        <v>Zweitfrucht</v>
      </c>
      <c r="J16" s="10">
        <f>IF(AND(E7&gt;2,E9&gt;3),E12,IF(AND(E7&gt;2,E8&lt;'Düngung möglich'!K8,E9=3),E11,G16))</f>
        <v>46267</v>
      </c>
      <c r="K16" s="14">
        <f>+J16-G16</f>
        <v>0</v>
      </c>
      <c r="L16" t="s">
        <v>52</v>
      </c>
      <c r="M16" s="10">
        <f>IF(K16&gt;0,J16,IF(E7&lt;3,J16,IF(E12&lt;AC16,E12,IF(AND(I8&gt;0,I8&lt;AC16),I8,AC16))))</f>
        <v>46267</v>
      </c>
      <c r="N16" s="14">
        <f>+M16-J16</f>
        <v>0</v>
      </c>
      <c r="O16" s="14"/>
      <c r="P16" s="14"/>
      <c r="Q16" t="s">
        <v>0</v>
      </c>
      <c r="R16" s="10">
        <f>IF(AND(B7=3,I7=5,I8=0),M16,IF(AND(I8&gt;=M16,I8&lt;AC16),I8,AC16))</f>
        <v>46267</v>
      </c>
      <c r="S16" s="14">
        <f>+R16-M16</f>
        <v>0</v>
      </c>
      <c r="T16" s="14"/>
      <c r="U16" s="14"/>
      <c r="V16" s="14"/>
      <c r="W16" s="14"/>
      <c r="X16" s="14"/>
      <c r="Y16" s="17"/>
      <c r="Z16" s="17"/>
      <c r="AA16" s="17"/>
      <c r="AB16" t="str">
        <f>+J7</f>
        <v>W-Gerste (Drusch)</v>
      </c>
      <c r="AC16" s="10">
        <f>DATE($B$1+1,4,1)</f>
        <v>46478</v>
      </c>
      <c r="AD16" s="14">
        <f>+AC16-R16</f>
        <v>211</v>
      </c>
    </row>
    <row r="17" spans="1:30" x14ac:dyDescent="0.25">
      <c r="A17" t="s">
        <v>18</v>
      </c>
      <c r="B17" s="10">
        <f>+B16</f>
        <v>46173</v>
      </c>
      <c r="C17" t="s">
        <v>107</v>
      </c>
      <c r="D17" s="10">
        <f>MIN(D33,B8)</f>
        <v>46235</v>
      </c>
      <c r="E17" s="14">
        <f t="shared" ref="E17" si="0">+D17-B17</f>
        <v>62</v>
      </c>
      <c r="I17" t="str">
        <f>IF(K16=0," ",IF(E7&gt;4,"keine N-Düngung","DBE-Zweitfrucht"))</f>
        <v xml:space="preserve"> </v>
      </c>
      <c r="J17" s="10">
        <f>IF(K16=0,D17,IF(E9&gt;3,D33,IF(E9=3,IF(E11&lt;D33,E11,D33),D33)))</f>
        <v>46235</v>
      </c>
      <c r="K17" s="14">
        <f>+J17-D17</f>
        <v>0</v>
      </c>
      <c r="L17" t="str">
        <f>IF(N16=0," ",IF(AND(E7&gt;4,I7=8),"keine N-Düngung",IF(AND(OR(D4=3,D4=5),E9=2),"120 kg N-Ges",IF(AND(OR(D4=3,D4=5),E9=3,E10=3),"120 kg N-Ges","praxisübliche Menge"))))</f>
        <v xml:space="preserve"> </v>
      </c>
      <c r="M17" s="10">
        <f>IF(K17&gt;0,J17,IF(E7&lt;3,J17,IF(E12&lt;D33,E12,IF(AND(I8&gt;0,I8&lt;D33),I8,D33))))</f>
        <v>46235</v>
      </c>
      <c r="N17" s="14">
        <f>+M17-J17</f>
        <v>0</v>
      </c>
      <c r="O17" s="10">
        <f>IF(V17&gt;0,J17,M17)</f>
        <v>46235</v>
      </c>
      <c r="P17" s="14">
        <f>+O17-J17</f>
        <v>0</v>
      </c>
      <c r="T17" t="str">
        <f>IF(AND(I7=5,I8&lt;=B40),"praxisübliche Menge",IF(AND(B7=3,I7=5),"praxisübliche Menge",IF(AND(B7=3,B12-B8&gt;41),IF(OR(D4=3,D4=5),"120 kg N-Ges","praxisübliche Menge"),IF(V17=0," ",IF(OR(I7=2,I7=3,I7=4),"praxisübliche Menge")))))</f>
        <v>praxisübliche Menge</v>
      </c>
      <c r="U17" s="10">
        <f>IF(AND(I7=5,I8&lt;=B40,I8&lt;&gt;0),D33,IF(AND(B7=3,I7=5,I8=0),D33,IF(AND(B7=3,B12-B8&gt;41),MIN(D33,B12),IF(OR(I7=2,I7=3,I7=4),D33,M17))))</f>
        <v>46357</v>
      </c>
      <c r="V17" s="10">
        <f>+U17-M17</f>
        <v>122</v>
      </c>
      <c r="W17" s="10">
        <f>+U17</f>
        <v>46357</v>
      </c>
      <c r="X17" s="14">
        <f>+W17-O17</f>
        <v>122</v>
      </c>
      <c r="Y17" t="str">
        <f>CONCATENATE("Sperrfrist (N) ",G33," - ",G35)</f>
        <v>Sperrfrist (N) 01.12. - 15.01.</v>
      </c>
      <c r="Z17" s="10">
        <f>+D35</f>
        <v>46402</v>
      </c>
      <c r="AA17" s="10">
        <f>+Z17-U17</f>
        <v>45</v>
      </c>
      <c r="AB17" t="str">
        <f>+IF(AND(B7=3,OR(AND(I7=5,I8=0),B12&gt;=B38)),"DBE-HF",   IF(AND(I7&gt;=1,I7&lt;5),"DBE-HF",      IF(AND(I7=5,I8&lt;B41,I8&lt;&gt;0),"DBE-HF",    IF(AND(B10&lt;=B37,D4=3),IF(OR(E7=2,E13&lt;B38),"keine N-Düngung",IF(E9&gt;3,"DBE-Zweitfr./HF","DBE-HF")),        IF(AND(B10&lt;=B37,D4=4,B11=2),IF(OR(E7=2,E13&lt;B38),"keine P-Düngung (N n. DBE)",IF(E9&gt;3,"DBE-Zweitfr./HF","DBE-HF")),         IF(AND(B10&lt;=B37,D4=5,B11=2),IF(OR(E7=2,E13&lt;B38),"keine NP-Düngung",IF(E9&gt;3,"DBE-Zweitfr./HF","DBE-HF")),        IF(AND(B10&lt;=B37,D4=5,B11=3),IF(OR(E7=2,E13&lt;B38),"keine N-Düngung","DBE-HF"),        IF(E9&gt;3,"DBE-Zweitfr./HF","DBE-HF"))))))))</f>
        <v>DBE-HF</v>
      </c>
      <c r="AC17" s="10">
        <f>+AC16</f>
        <v>46478</v>
      </c>
      <c r="AD17" s="14">
        <f>+AC17-Z17</f>
        <v>76</v>
      </c>
    </row>
    <row r="18" spans="1:30" x14ac:dyDescent="0.25">
      <c r="A18" t="s">
        <v>19</v>
      </c>
      <c r="B18" s="10">
        <f>+B17</f>
        <v>46173</v>
      </c>
      <c r="C18" t="s">
        <v>107</v>
      </c>
      <c r="D18" s="10">
        <f>MIN(C33,B8)</f>
        <v>46235</v>
      </c>
      <c r="E18" s="14">
        <f>+D18-B18</f>
        <v>62</v>
      </c>
      <c r="I18" t="str">
        <f>IF(AND(B7=3,B8=E8,OR(E7=3,E7=4),B12=0,E9=4),"30/60 kg N (nicht mineralisch)",I17)</f>
        <v xml:space="preserve"> </v>
      </c>
      <c r="J18" s="10">
        <f>IF(K16=0,D18,IF(AND(B7=3,B8=E8,E7&gt;2,B12=0,E9=4),C33,IF(E8&gt;B39,D18,IF(OR(E9=3,E9=5),IF(E11&lt;C33,E11,C33),D18))))</f>
        <v>46235</v>
      </c>
      <c r="K18" s="14">
        <f>+J18-D18</f>
        <v>0</v>
      </c>
      <c r="L18" t="str">
        <f>IF(N16=0," ",IF(E8&gt;B39," ",IF(E7&gt;4,"keine N-Düngung",IF(AND(D4=3,E9=2)," ",IF(AND(OR(D4=3,D4=5),E9=3,E10=3)," ","30/60 kg N")))))</f>
        <v xml:space="preserve"> </v>
      </c>
      <c r="M18" s="10">
        <f>IF(N16=0,J18,IF(AND(E7&gt;4,I7=9),J18,IF(E8&gt;B39,D18,IF(AND(OR(D4=3,D4=5),E9=2),J18,IF(AND(OR(D4=3,D4=5),E9=3,E10=3),J18,IF(AND(E8&lt;=B39,E12&lt;C33),E12,C33))))))</f>
        <v>46235</v>
      </c>
      <c r="N18" s="14">
        <f>+M18-J18</f>
        <v>0</v>
      </c>
      <c r="O18" s="10">
        <f>IF(N18=0,M18,IF(E8&gt;B39,D18,IF(AND(V18&gt;0,E7&lt;5),W18,M18)))</f>
        <v>46235</v>
      </c>
      <c r="P18" s="19">
        <f>+O18-J18</f>
        <v>0</v>
      </c>
      <c r="T18" t="str">
        <f>IF(AND(B7=3,I7=5,I8=0),"30/60 (nicht mineralisch)",IF(AND(I7=5,I8&lt;=B40),"DBE-HF",IF(AND(B7=3,I7=5),"30/60 (nicht mineralisch)",IF(V18=0," ",IF(AND(OR(D4=2,D4=4),I7=2),"30/60 kg N",IF(AND(OR(D4=3,D4=5),I7=2),"30/60 wenn Nmin&lt;45",IF(AND(OR(D4=2,D4=4),I7=3),"30/60 kg N","keine Düngung")))))))</f>
        <v>30/60 kg N</v>
      </c>
      <c r="U18" s="10">
        <f>IF(AND(I7=5,I9&gt;0,I8&lt;=B39),IF(I9&lt;C33,I9,C33),IF(AND(B7=3,I7=5,I8=0),C33,IF(AND(I7=2,I8&lt;=B39),C33,IF(AND(OR(D4=2,D4=4),I7=3,B7=2,I8&lt;=B37),C33,M18))))</f>
        <v>46297</v>
      </c>
      <c r="V18" s="14">
        <f>+U18-M18</f>
        <v>62</v>
      </c>
      <c r="W18" s="10">
        <f>+U18</f>
        <v>46297</v>
      </c>
      <c r="X18" s="14">
        <f>+W18-O18</f>
        <v>62</v>
      </c>
      <c r="Y18" t="str">
        <f>CONCATENATE("Sperrfrist (N) ",F33," - ",F35)</f>
        <v>Sperrfrist (N) 02.10. - 31.01.</v>
      </c>
      <c r="Z18" s="10">
        <f>+C35</f>
        <v>46418</v>
      </c>
      <c r="AA18" s="14">
        <f>+Z18-U18</f>
        <v>121</v>
      </c>
      <c r="AB18" t="str">
        <f>+IF(AND(B7=3,I7=5,I8=0),"DBE-HF",IF(AND(I7=5,I8&lt;B40,I8&gt;0),"DBE-HF",                             IF(AND(I7&gt;=1,I7&lt;5),"DBE-HF",IF(AND(B10&lt;=B37,B12&lt;B38,D4=3),IF(OR(E7=2,E13&lt;B38),"keine N-Düngung",IF(OR(E7=3,E7=4,E7=5,E7=6),IF(I7=6,IF(E9&gt;3,"DBE-Zweitfr./HF",IF(AND(OR(E7=3,E7=5),E12&gt;=B44),"DBE-HF","DBE-HF (nicht Feb.)")),IF(E9&gt;3,"DBE-Zweitfr./HF","DBE-HF")),"keine Düngung")),IF(AND(B10&lt;=B37,D4=4,B11=2,B12&lt;B38),IF(OR(E7=2,E13&lt;B38),"keine P-Düngung (N n. DBE)",IF(OR(E7=3,E7=4,E7=5,E7=6),IF(I7=6,IF(E9&gt;3,"DBE-Zweitfr./HF",IF(AND(OR(E7=3,E7=5),E12&gt;=B44),"DBE-HF","DBE-HF (nicht Feb.)")),IF(E9&gt;3,"DBE-Zweitfr./HF","DBE-HF")),"keine P-Düngung (N n. DBE)")),IF(AND(B10&lt;=B37,D4=5,B11=2,B12&lt;B38),IF(OR(E7=2,E13&lt;B38),"keine NP-Düngung",IF(OR(E7=3,E7=4,E7=5,E7=6),IF(I7=6,IF(E9&gt;3,"DBE-Zweitfr./HF",IF(AND(OR(E7=3,E7=5),E12&gt;=B44),"DBE-HF","DBE-HF (nicht Feb.)")),IF(E9&gt;3,"DBE-Zweitfr./HF","DBE-HF")),"keine NP-Düngung")),IF(AND(B10&lt;=B37,D4=5,B11=3,B12&lt;B38),IF(OR(E7=2,E13&lt;B38),"keine N-Düngung",IF(OR(E7=3,E7=4,E7=5,E7=6),IF(I7=6,IF(E9&gt;3,"DBE-Zweitfr./HF",IF(AND(OR(E7=3,E7=5),E12&gt;=B44),"DBE-HF","DBE-HF (nicht Feb.)")),IF(E9&gt;3,"DBE-Zweitfr./HF","DBE-HF")),"keine NP-Düngung")),IF(AND(B7=3,B12&gt;=B44),"DBE-HF",IF(I7=6,IF(E9&gt;3,"DBE-Zweitfr./HF",IF(AND(OR(E7=3,E7=5),E12&gt;=B44),"DBE-HF","DBE-HF (nicht Feb.)")),IF(E9&gt;3,"DBE-Zweitfr./HF","DBE-HF"))))))))))</f>
        <v>DBE-HF</v>
      </c>
      <c r="AC18" s="10">
        <f>+AC17</f>
        <v>46478</v>
      </c>
      <c r="AD18" s="14">
        <f>+AC18-Z18</f>
        <v>60</v>
      </c>
    </row>
    <row r="19" spans="1:30" x14ac:dyDescent="0.25">
      <c r="D19" s="10"/>
    </row>
    <row r="22" spans="1:30" x14ac:dyDescent="0.25">
      <c r="B22" s="1"/>
      <c r="C22" s="5">
        <f>44592</f>
        <v>44592</v>
      </c>
      <c r="D22" s="1"/>
      <c r="E22" s="1"/>
      <c r="F22" s="1"/>
    </row>
    <row r="23" spans="1:30" x14ac:dyDescent="0.25">
      <c r="B23" s="1"/>
      <c r="C23" s="1"/>
      <c r="D23" s="1"/>
      <c r="E23" s="1"/>
      <c r="F23" s="1"/>
    </row>
    <row r="24" spans="1:30" x14ac:dyDescent="0.25">
      <c r="A24" t="s">
        <v>17</v>
      </c>
      <c r="B24" s="1"/>
      <c r="C24" s="1" t="s">
        <v>19</v>
      </c>
      <c r="D24" s="1" t="s">
        <v>18</v>
      </c>
      <c r="E24" s="1"/>
      <c r="F24" s="1"/>
    </row>
    <row r="25" spans="1:30" x14ac:dyDescent="0.25">
      <c r="A25" t="s">
        <v>40</v>
      </c>
      <c r="B25" s="1" t="s">
        <v>30</v>
      </c>
      <c r="C25" s="5">
        <f>DATE($B$1,10,2)</f>
        <v>46297</v>
      </c>
      <c r="D25" s="5">
        <f>DATE($B$1,12,1)</f>
        <v>46357</v>
      </c>
      <c r="E25" s="1"/>
      <c r="F25" s="1"/>
    </row>
    <row r="26" spans="1:30" x14ac:dyDescent="0.25">
      <c r="A26" t="s">
        <v>40</v>
      </c>
      <c r="B26" s="1" t="s">
        <v>31</v>
      </c>
      <c r="C26" s="5">
        <f>DATE($B$1,10,2)</f>
        <v>46297</v>
      </c>
      <c r="D26" s="5">
        <f>DATE($B$1,11,1)</f>
        <v>46327</v>
      </c>
      <c r="E26" s="1"/>
      <c r="F26" s="1"/>
    </row>
    <row r="27" spans="1:30" x14ac:dyDescent="0.25">
      <c r="A27" t="s">
        <v>41</v>
      </c>
      <c r="B27" s="1" t="s">
        <v>30</v>
      </c>
      <c r="C27" s="5">
        <f>DATE($B$1,11,1)</f>
        <v>46327</v>
      </c>
      <c r="D27" s="5">
        <f>DATE($B$1,12,1)</f>
        <v>46357</v>
      </c>
      <c r="E27" s="52" t="s">
        <v>102</v>
      </c>
      <c r="F27" s="53"/>
      <c r="G27" s="54"/>
    </row>
    <row r="28" spans="1:30" x14ac:dyDescent="0.25">
      <c r="A28" t="s">
        <v>41</v>
      </c>
      <c r="B28" s="1" t="s">
        <v>31</v>
      </c>
      <c r="C28" s="5">
        <f>DATE($B$1,10,1)</f>
        <v>46296</v>
      </c>
      <c r="D28" s="5">
        <f>+D26</f>
        <v>46327</v>
      </c>
      <c r="E28" s="55"/>
      <c r="F28" s="56"/>
      <c r="G28" s="57"/>
    </row>
    <row r="29" spans="1:30" x14ac:dyDescent="0.25">
      <c r="A29" t="s">
        <v>45</v>
      </c>
      <c r="B29" s="1" t="s">
        <v>30</v>
      </c>
      <c r="C29" s="5">
        <f>+C27+I4</f>
        <v>46327</v>
      </c>
      <c r="D29" s="5">
        <f>+D27</f>
        <v>46357</v>
      </c>
      <c r="E29" s="55" t="s">
        <v>99</v>
      </c>
      <c r="F29" s="56" t="s">
        <v>19</v>
      </c>
      <c r="G29" s="58" t="s">
        <v>18</v>
      </c>
    </row>
    <row r="30" spans="1:30" x14ac:dyDescent="0.25">
      <c r="A30" t="s">
        <v>45</v>
      </c>
      <c r="B30" s="1" t="s">
        <v>31</v>
      </c>
      <c r="C30" s="5">
        <f>+C28+I4</f>
        <v>46296</v>
      </c>
      <c r="D30" s="5">
        <f>+D28</f>
        <v>46327</v>
      </c>
      <c r="E30" s="55" t="s">
        <v>100</v>
      </c>
      <c r="F30" s="59">
        <f>Z18-AA18</f>
        <v>46297</v>
      </c>
      <c r="G30" s="60">
        <f>G31-AA17</f>
        <v>46357</v>
      </c>
    </row>
    <row r="31" spans="1:30" x14ac:dyDescent="0.25">
      <c r="A31" t="s">
        <v>17</v>
      </c>
      <c r="B31" s="1" t="s">
        <v>30</v>
      </c>
      <c r="C31" s="5">
        <f>IF(AND(B7=3,OR(AND(I7=5,I8=0),AND(B8=E8,E7&gt;2,B12=0,E9=4))),C29,C25)</f>
        <v>46297</v>
      </c>
      <c r="D31" s="5">
        <f>IF(AND(B7=3,OR(AND(I7=5,I8=0),AND(B8=E8,E7&gt;2,B12=0,E9=4))),D29,D25)</f>
        <v>46357</v>
      </c>
      <c r="E31" s="55" t="s">
        <v>12</v>
      </c>
      <c r="F31" s="59">
        <f>Z18</f>
        <v>46418</v>
      </c>
      <c r="G31" s="60">
        <f>Z17</f>
        <v>46402</v>
      </c>
    </row>
    <row r="32" spans="1:30" x14ac:dyDescent="0.25">
      <c r="A32" t="s">
        <v>17</v>
      </c>
      <c r="B32" s="1" t="s">
        <v>31</v>
      </c>
      <c r="C32" s="5">
        <f>IF(AND(B7=3,OR(AND(I7=5,I8=0),AND(B8=E8,E7&gt;2,B12=0,E9=4))),C30,C26)</f>
        <v>46297</v>
      </c>
      <c r="D32" s="5">
        <f>IF(AND(B7=3,OR(AND(I7=5,I8=0),AND(B8=E8,E7&gt;2,B12=0,E9=4))),D30,D26)</f>
        <v>46327</v>
      </c>
      <c r="E32" s="55"/>
      <c r="F32" s="61"/>
      <c r="G32" s="57"/>
    </row>
    <row r="33" spans="1:7" x14ac:dyDescent="0.25">
      <c r="B33" s="1" t="s">
        <v>11</v>
      </c>
      <c r="C33" s="5">
        <f>IF(NOT(OR(D4=3,D4=5)),C31,C32)</f>
        <v>46297</v>
      </c>
      <c r="D33" s="5">
        <f>IF(NOT(OR(D4=3,D4=5)),D31,D32)</f>
        <v>46357</v>
      </c>
      <c r="E33" s="55" t="s">
        <v>98</v>
      </c>
      <c r="F33" s="56" t="str">
        <f>TEXT(F30,"TT.MM.")</f>
        <v>02.10.</v>
      </c>
      <c r="G33" s="57" t="str">
        <f>TEXT(G30,"TT.MM.")</f>
        <v>01.12.</v>
      </c>
    </row>
    <row r="34" spans="1:7" x14ac:dyDescent="0.25">
      <c r="C34" s="18"/>
      <c r="D34" s="18"/>
      <c r="E34" s="55"/>
      <c r="F34" s="56"/>
      <c r="G34" s="57"/>
    </row>
    <row r="35" spans="1:7" x14ac:dyDescent="0.25">
      <c r="B35" s="1" t="s">
        <v>12</v>
      </c>
      <c r="C35" s="5">
        <f>IF(AND(B7=3,OR(AND(I7=5,I8=0),AND(B8=E8,E7&gt;2,B12=0,E9=4))),B45+I4,B45)</f>
        <v>46418</v>
      </c>
      <c r="D35" s="5">
        <f>+IF(NOT(OR(D4=3,D4=5)),B38,B42)</f>
        <v>46402</v>
      </c>
      <c r="E35" s="62"/>
      <c r="F35" s="63" t="str">
        <f>TEXT(F31,"TT.MM.")</f>
        <v>31.01.</v>
      </c>
      <c r="G35" s="64" t="str">
        <f>TEXT(G31,"TT.MM.")</f>
        <v>15.01.</v>
      </c>
    </row>
    <row r="36" spans="1:7" x14ac:dyDescent="0.25">
      <c r="B36" s="1"/>
      <c r="C36" s="1"/>
      <c r="D36" s="1"/>
    </row>
    <row r="37" spans="1:7" x14ac:dyDescent="0.25">
      <c r="A37" t="s">
        <v>117</v>
      </c>
      <c r="B37" s="10">
        <f>DATE($B$1,10,1)</f>
        <v>46296</v>
      </c>
      <c r="D37" s="10"/>
    </row>
    <row r="38" spans="1:7" x14ac:dyDescent="0.25">
      <c r="A38" t="s">
        <v>36</v>
      </c>
      <c r="B38" s="10">
        <f>DATE($B$1+1,1,15)</f>
        <v>46402</v>
      </c>
    </row>
    <row r="39" spans="1:7" x14ac:dyDescent="0.25">
      <c r="A39" t="s">
        <v>116</v>
      </c>
      <c r="B39" s="10">
        <f>DATE($B$1,9,15)</f>
        <v>46280</v>
      </c>
    </row>
    <row r="40" spans="1:7" x14ac:dyDescent="0.25">
      <c r="A40" t="s">
        <v>58</v>
      </c>
      <c r="B40" s="10">
        <f>DATE($B$1,12,1)</f>
        <v>46357</v>
      </c>
    </row>
    <row r="41" spans="1:7" x14ac:dyDescent="0.25">
      <c r="A41" t="s">
        <v>59</v>
      </c>
      <c r="B41" s="10">
        <f>DATE($B$1+1,2,1)</f>
        <v>46419</v>
      </c>
    </row>
    <row r="42" spans="1:7" x14ac:dyDescent="0.25">
      <c r="A42" t="s">
        <v>62</v>
      </c>
      <c r="B42" s="10">
        <f>DATE($B$1+1,1,31)</f>
        <v>46418</v>
      </c>
    </row>
    <row r="43" spans="1:7" x14ac:dyDescent="0.25">
      <c r="A43" t="s">
        <v>63</v>
      </c>
      <c r="B43" s="10">
        <f>DATE($B$1,12,31)</f>
        <v>46387</v>
      </c>
    </row>
    <row r="44" spans="1:7" x14ac:dyDescent="0.25">
      <c r="A44" t="s">
        <v>77</v>
      </c>
      <c r="B44" s="10">
        <f>DATE($B$1+1,3,15)</f>
        <v>46461</v>
      </c>
    </row>
    <row r="45" spans="1:7" x14ac:dyDescent="0.25">
      <c r="A45" t="s">
        <v>114</v>
      </c>
      <c r="B45" s="10">
        <f>DATE($B$1+1,1,31)</f>
        <v>46418</v>
      </c>
    </row>
  </sheetData>
  <mergeCells count="1">
    <mergeCell ref="A6:B6"/>
  </mergeCells>
  <pageMargins left="0.7" right="0.7" top="0.78740157499999996" bottom="0.78740157499999996"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EF4C8-41FF-4BE4-8088-1491B90A69D8}">
  <dimension ref="A1:F4"/>
  <sheetViews>
    <sheetView workbookViewId="0">
      <selection activeCell="F9" sqref="F9"/>
    </sheetView>
  </sheetViews>
  <sheetFormatPr baseColWidth="10" defaultRowHeight="15" x14ac:dyDescent="0.25"/>
  <sheetData>
    <row r="1" spans="1:6" x14ac:dyDescent="0.25">
      <c r="A1" t="s">
        <v>69</v>
      </c>
    </row>
    <row r="2" spans="1:6" x14ac:dyDescent="0.25">
      <c r="A2" t="s">
        <v>70</v>
      </c>
      <c r="F2" t="s">
        <v>68</v>
      </c>
    </row>
    <row r="3" spans="1:6" x14ac:dyDescent="0.25">
      <c r="A3" t="s">
        <v>71</v>
      </c>
      <c r="F3" t="s">
        <v>72</v>
      </c>
    </row>
    <row r="4" spans="1:6" x14ac:dyDescent="0.25">
      <c r="A4" t="s">
        <v>74</v>
      </c>
      <c r="B4" t="s">
        <v>31</v>
      </c>
      <c r="C4" t="s">
        <v>75</v>
      </c>
      <c r="F4" t="s">
        <v>73</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4B12B-92DF-461A-A3C7-077D4410702F}">
  <dimension ref="A2:A47"/>
  <sheetViews>
    <sheetView workbookViewId="0">
      <selection activeCell="B21" sqref="B21"/>
    </sheetView>
  </sheetViews>
  <sheetFormatPr baseColWidth="10" defaultRowHeight="15" x14ac:dyDescent="0.25"/>
  <sheetData>
    <row r="2" spans="1:1" x14ac:dyDescent="0.25">
      <c r="A2" t="s">
        <v>3</v>
      </c>
    </row>
    <row r="3" spans="1:1" x14ac:dyDescent="0.25">
      <c r="A3" t="s">
        <v>4</v>
      </c>
    </row>
    <row r="4" spans="1:1" x14ac:dyDescent="0.25">
      <c r="A4" t="s">
        <v>119</v>
      </c>
    </row>
    <row r="5" spans="1:1" x14ac:dyDescent="0.25">
      <c r="A5" t="s">
        <v>66</v>
      </c>
    </row>
    <row r="6" spans="1:1" x14ac:dyDescent="0.25">
      <c r="A6" t="s">
        <v>67</v>
      </c>
    </row>
    <row r="8" spans="1:1" x14ac:dyDescent="0.25">
      <c r="A8" t="s">
        <v>3</v>
      </c>
    </row>
    <row r="9" spans="1:1" x14ac:dyDescent="0.25">
      <c r="A9" t="s">
        <v>42</v>
      </c>
    </row>
    <row r="10" spans="1:1" x14ac:dyDescent="0.25">
      <c r="A10" t="s">
        <v>43</v>
      </c>
    </row>
    <row r="11" spans="1:1" x14ac:dyDescent="0.25">
      <c r="A11" t="s">
        <v>44</v>
      </c>
    </row>
    <row r="14" spans="1:1" x14ac:dyDescent="0.25">
      <c r="A14" t="s">
        <v>3</v>
      </c>
    </row>
    <row r="15" spans="1:1" x14ac:dyDescent="0.25">
      <c r="A15" t="s">
        <v>108</v>
      </c>
    </row>
    <row r="16" spans="1:1" x14ac:dyDescent="0.25">
      <c r="A16" t="s">
        <v>115</v>
      </c>
    </row>
    <row r="17" spans="1:1" x14ac:dyDescent="0.25">
      <c r="A17" t="s">
        <v>9</v>
      </c>
    </row>
    <row r="19" spans="1:1" x14ac:dyDescent="0.25">
      <c r="A19" t="s">
        <v>3</v>
      </c>
    </row>
    <row r="20" spans="1:1" x14ac:dyDescent="0.25">
      <c r="A20" t="s">
        <v>6</v>
      </c>
    </row>
    <row r="21" spans="1:1" x14ac:dyDescent="0.25">
      <c r="A21" t="s">
        <v>32</v>
      </c>
    </row>
    <row r="22" spans="1:1" x14ac:dyDescent="0.25">
      <c r="A22" t="s">
        <v>33</v>
      </c>
    </row>
    <row r="23" spans="1:1" x14ac:dyDescent="0.25">
      <c r="A23" t="s">
        <v>34</v>
      </c>
    </row>
    <row r="24" spans="1:1" x14ac:dyDescent="0.25">
      <c r="A24" t="s">
        <v>35</v>
      </c>
    </row>
    <row r="26" spans="1:1" x14ac:dyDescent="0.25">
      <c r="A26" t="s">
        <v>3</v>
      </c>
    </row>
    <row r="27" spans="1:1" x14ac:dyDescent="0.25">
      <c r="A27" t="s">
        <v>13</v>
      </c>
    </row>
    <row r="28" spans="1:1" x14ac:dyDescent="0.25">
      <c r="A28" t="s">
        <v>14</v>
      </c>
    </row>
    <row r="29" spans="1:1" x14ac:dyDescent="0.25">
      <c r="A29" t="s">
        <v>15</v>
      </c>
    </row>
    <row r="30" spans="1:1" x14ac:dyDescent="0.25">
      <c r="A30" t="s">
        <v>16</v>
      </c>
    </row>
    <row r="32" spans="1:1" x14ac:dyDescent="0.25">
      <c r="A32" t="s">
        <v>3</v>
      </c>
    </row>
    <row r="33" spans="1:1" x14ac:dyDescent="0.25">
      <c r="A33" t="s">
        <v>7</v>
      </c>
    </row>
    <row r="34" spans="1:1" x14ac:dyDescent="0.25">
      <c r="A34" t="s">
        <v>109</v>
      </c>
    </row>
    <row r="35" spans="1:1" x14ac:dyDescent="0.25">
      <c r="A35" t="s">
        <v>20</v>
      </c>
    </row>
    <row r="36" spans="1:1" x14ac:dyDescent="0.25">
      <c r="A36" t="s">
        <v>115</v>
      </c>
    </row>
    <row r="37" spans="1:1" x14ac:dyDescent="0.25">
      <c r="A37" t="s">
        <v>121</v>
      </c>
    </row>
    <row r="38" spans="1:1" x14ac:dyDescent="0.25">
      <c r="A38" t="s">
        <v>38</v>
      </c>
    </row>
    <row r="39" spans="1:1" x14ac:dyDescent="0.25">
      <c r="A39" t="s">
        <v>23</v>
      </c>
    </row>
    <row r="41" spans="1:1" x14ac:dyDescent="0.25">
      <c r="A41" t="s">
        <v>3</v>
      </c>
    </row>
    <row r="42" spans="1:1" x14ac:dyDescent="0.25">
      <c r="A42" t="s">
        <v>26</v>
      </c>
    </row>
    <row r="43" spans="1:1" x14ac:dyDescent="0.25">
      <c r="A43" t="s">
        <v>118</v>
      </c>
    </row>
    <row r="45" spans="1:1" x14ac:dyDescent="0.25">
      <c r="A45" t="s">
        <v>3</v>
      </c>
    </row>
    <row r="46" spans="1:1" x14ac:dyDescent="0.25">
      <c r="A46" t="s">
        <v>4</v>
      </c>
    </row>
    <row r="47" spans="1:1" x14ac:dyDescent="0.25">
      <c r="A47" t="str">
        <f>CONCATENATE("ja, bis mind. 15.01.",Berechnung!B1-1999)</f>
        <v>ja, bis mind. 15.01.27</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Düngung möglich</vt:lpstr>
      <vt:lpstr>Diagramm</vt:lpstr>
      <vt:lpstr>Kommentar</vt:lpstr>
      <vt:lpstr>Berechnung</vt:lpstr>
      <vt:lpstr>Tabelle1</vt:lpstr>
      <vt:lpstr>Rohdaten</vt:lpstr>
      <vt:lpstr>'Düngung möglich'!Druckbereich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Sperrfristprogramm - darf ich düngen?</dc:title>
  <dc:creator>LfL IAB2</dc:creator>
  <cp:lastModifiedBy>Deimel, Rebekka (LfL)</cp:lastModifiedBy>
  <cp:lastPrinted>2025-10-27T08:52:22Z</cp:lastPrinted>
  <dcterms:created xsi:type="dcterms:W3CDTF">2020-11-21T18:18:36Z</dcterms:created>
  <dcterms:modified xsi:type="dcterms:W3CDTF">2026-05-28T10:38:59Z</dcterms:modified>
</cp:coreProperties>
</file>