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ctrlProps/ctrlProp94.xml" ContentType="application/vnd.ms-excel.controlpropertie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trlProps/ctrlProp9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66925"/>
  <mc:AlternateContent xmlns:mc="http://schemas.openxmlformats.org/markup-compatibility/2006">
    <mc:Choice Requires="x15">
      <x15ac:absPath xmlns:x15ac="http://schemas.microsoft.com/office/spreadsheetml/2010/11/ac" url="\\stmlf.bayern.de\Ressort\LfL\OrgEinheiten\IBA\AB2\AB 2 Ruhstorf\AB 2c_Tourismus\Frühstück\"/>
    </mc:Choice>
  </mc:AlternateContent>
  <xr:revisionPtr revIDLastSave="0" documentId="13_ncr:1_{AB981D14-42D1-4C75-9D19-63CB43E98BBC}" xr6:coauthVersionLast="47" xr6:coauthVersionMax="47" xr10:uidLastSave="{00000000-0000-0000-0000-000000000000}"/>
  <bookViews>
    <workbookView xWindow="-28920" yWindow="-5640" windowWidth="29040" windowHeight="17640" activeTab="6" xr2:uid="{00000000-000D-0000-FFFF-FFFF00000000}"/>
  </bookViews>
  <sheets>
    <sheet name="Information" sheetId="8" r:id="rId1"/>
    <sheet name="1) Wareneinsatz" sheetId="1" r:id="rId2"/>
    <sheet name="Preiskalkulation" sheetId="2" state="hidden" r:id="rId3"/>
    <sheet name="2) Angaben DB" sheetId="5" r:id="rId4"/>
    <sheet name="3) Ergebnis DB kurz" sheetId="6" r:id="rId5"/>
    <sheet name="4) DB Grafik" sheetId="7" state="hidden" r:id="rId6"/>
    <sheet name="5) Ergebnis DB ausführlich" sheetId="3" r:id="rId7"/>
    <sheet name="Datengrundlage Investition" sheetId="4" state="hidden" r:id="rId8"/>
  </sheets>
  <definedNames>
    <definedName name="_xlnm.Print_Area" localSheetId="5">'4) DB Grafik'!$A$1:$F$66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1" i="1" l="1"/>
  <c r="L49" i="1"/>
  <c r="S49" i="1"/>
  <c r="S47" i="1"/>
  <c r="S46" i="1"/>
  <c r="S37" i="1"/>
  <c r="S36" i="1"/>
  <c r="S35" i="1"/>
  <c r="S33" i="1"/>
  <c r="S32" i="1"/>
  <c r="S31" i="1"/>
  <c r="S30" i="1"/>
  <c r="S29" i="1"/>
  <c r="S28" i="1"/>
  <c r="S27" i="1"/>
  <c r="S24" i="1"/>
  <c r="S23" i="1"/>
  <c r="S22" i="1"/>
  <c r="S21" i="1"/>
  <c r="S20" i="1"/>
  <c r="S19" i="1"/>
  <c r="S18" i="1"/>
  <c r="S16" i="1"/>
  <c r="S15" i="1"/>
  <c r="S14" i="1"/>
  <c r="S13" i="1"/>
  <c r="S12" i="1"/>
  <c r="S11" i="1"/>
  <c r="L51" i="1"/>
  <c r="L50" i="1"/>
  <c r="L47" i="1"/>
  <c r="L46" i="1"/>
  <c r="L38" i="1"/>
  <c r="L37" i="1"/>
  <c r="L36" i="1"/>
  <c r="L35" i="1"/>
  <c r="L33" i="1"/>
  <c r="L32" i="1"/>
  <c r="L31" i="1"/>
  <c r="L30" i="1"/>
  <c r="L29" i="1"/>
  <c r="L28" i="1"/>
  <c r="L27" i="1"/>
  <c r="L26" i="1"/>
  <c r="L25" i="1"/>
  <c r="S26" i="1"/>
  <c r="S25" i="1"/>
  <c r="L24" i="1"/>
  <c r="L23" i="1"/>
  <c r="L22" i="1"/>
  <c r="L21" i="1"/>
  <c r="L20" i="1"/>
  <c r="L19" i="1"/>
  <c r="L18" i="1"/>
  <c r="L16" i="1"/>
  <c r="L15" i="1"/>
  <c r="L14" i="1"/>
  <c r="L13" i="1"/>
  <c r="L12" i="1"/>
  <c r="L11" i="1"/>
  <c r="K51" i="1"/>
  <c r="S9" i="1"/>
  <c r="L9" i="1"/>
  <c r="S6" i="1"/>
  <c r="L6" i="1"/>
  <c r="S5" i="1"/>
  <c r="L5" i="1"/>
  <c r="S4" i="1"/>
  <c r="L4" i="1"/>
  <c r="R51" i="1"/>
  <c r="R50" i="1"/>
  <c r="K50" i="1"/>
  <c r="R49" i="1"/>
  <c r="K49" i="1"/>
  <c r="E49" i="1" s="1"/>
  <c r="R47" i="1"/>
  <c r="K47" i="1"/>
  <c r="R46" i="1"/>
  <c r="K46" i="1"/>
  <c r="R37" i="1"/>
  <c r="K37" i="1"/>
  <c r="R36" i="1"/>
  <c r="K36" i="1"/>
  <c r="R35" i="1"/>
  <c r="K35" i="1"/>
  <c r="R33" i="1"/>
  <c r="K33" i="1"/>
  <c r="R32" i="1"/>
  <c r="K32" i="1"/>
  <c r="R31" i="1"/>
  <c r="K31" i="1"/>
  <c r="E31" i="1" s="1"/>
  <c r="R30" i="1"/>
  <c r="K30" i="1"/>
  <c r="E30" i="1" s="1"/>
  <c r="R29" i="1"/>
  <c r="K29" i="1"/>
  <c r="R28" i="1"/>
  <c r="K28" i="1"/>
  <c r="R27" i="1"/>
  <c r="K27" i="1"/>
  <c r="R26" i="1"/>
  <c r="K26" i="1"/>
  <c r="K25" i="1"/>
  <c r="R25" i="1"/>
  <c r="R24" i="1"/>
  <c r="K24" i="1"/>
  <c r="R23" i="1"/>
  <c r="K23" i="1"/>
  <c r="R22" i="1"/>
  <c r="K22" i="1"/>
  <c r="R21" i="1"/>
  <c r="K21" i="1"/>
  <c r="E21" i="1" s="1"/>
  <c r="R20" i="1"/>
  <c r="K20" i="1"/>
  <c r="R19" i="1"/>
  <c r="K19" i="1"/>
  <c r="E19" i="1" s="1"/>
  <c r="R18" i="1"/>
  <c r="K18" i="1"/>
  <c r="E18" i="1" s="1"/>
  <c r="R16" i="1"/>
  <c r="K16" i="1"/>
  <c r="R14" i="1"/>
  <c r="R13" i="1"/>
  <c r="K13" i="1"/>
  <c r="R12" i="1"/>
  <c r="K12" i="1"/>
  <c r="R11" i="1"/>
  <c r="K11" i="1"/>
  <c r="R9" i="1"/>
  <c r="K9" i="1"/>
  <c r="R6" i="1"/>
  <c r="K6" i="1"/>
  <c r="E6" i="1" s="1"/>
  <c r="R5" i="1"/>
  <c r="K5" i="1"/>
  <c r="R4" i="1"/>
  <c r="K4" i="1"/>
  <c r="N53" i="1"/>
  <c r="N54" i="1"/>
  <c r="N55" i="1"/>
  <c r="N56" i="1"/>
  <c r="M53" i="1"/>
  <c r="M54" i="1"/>
  <c r="M55" i="1"/>
  <c r="M56" i="1"/>
  <c r="G56" i="1"/>
  <c r="G55" i="1"/>
  <c r="E56" i="1"/>
  <c r="E55" i="1"/>
  <c r="E53" i="1"/>
  <c r="G53" i="1"/>
  <c r="G54" i="1"/>
  <c r="E54" i="1"/>
  <c r="E21" i="3"/>
  <c r="D17" i="5"/>
  <c r="G41" i="1"/>
  <c r="G42" i="1"/>
  <c r="G43" i="1"/>
  <c r="G44" i="1"/>
  <c r="G46" i="1"/>
  <c r="G47" i="1"/>
  <c r="G49" i="1"/>
  <c r="G50" i="1"/>
  <c r="G51" i="1"/>
  <c r="G40" i="1"/>
  <c r="G19" i="1"/>
  <c r="G20" i="1"/>
  <c r="G21" i="1"/>
  <c r="G18" i="1"/>
  <c r="G5" i="1"/>
  <c r="G6" i="1"/>
  <c r="G7" i="1"/>
  <c r="G8" i="1"/>
  <c r="G9" i="1"/>
  <c r="G11" i="1"/>
  <c r="G12" i="1"/>
  <c r="G13" i="1"/>
  <c r="G14" i="1"/>
  <c r="G15" i="1"/>
  <c r="G16" i="1"/>
  <c r="G22" i="1"/>
  <c r="G23" i="1"/>
  <c r="G24" i="1"/>
  <c r="G25" i="1"/>
  <c r="G26" i="1"/>
  <c r="G27" i="1"/>
  <c r="G28" i="1"/>
  <c r="G29" i="1"/>
  <c r="G30" i="1"/>
  <c r="G31" i="1"/>
  <c r="G32" i="1"/>
  <c r="G33" i="1"/>
  <c r="G35" i="1"/>
  <c r="G36" i="1"/>
  <c r="G37" i="1"/>
  <c r="G38" i="1"/>
  <c r="G4" i="1"/>
  <c r="E43" i="1"/>
  <c r="E44" i="1"/>
  <c r="E46" i="1"/>
  <c r="E47" i="1"/>
  <c r="E50" i="1"/>
  <c r="E51" i="1"/>
  <c r="E42" i="1"/>
  <c r="E41" i="1"/>
  <c r="E40" i="1"/>
  <c r="E7" i="1"/>
  <c r="E22" i="1"/>
  <c r="E23" i="1"/>
  <c r="E24" i="1"/>
  <c r="E25" i="1"/>
  <c r="E26" i="1"/>
  <c r="E27" i="1"/>
  <c r="E28" i="1"/>
  <c r="E29" i="1"/>
  <c r="E32" i="1"/>
  <c r="E33" i="1"/>
  <c r="E35" i="1"/>
  <c r="E36" i="1"/>
  <c r="E37" i="1"/>
  <c r="E38" i="1"/>
  <c r="E20" i="1"/>
  <c r="E9" i="1"/>
  <c r="E11" i="1"/>
  <c r="E12" i="1"/>
  <c r="E13" i="1"/>
  <c r="E14" i="1"/>
  <c r="E15" i="1"/>
  <c r="E16" i="1"/>
  <c r="E5" i="1"/>
  <c r="D41" i="4" l="1"/>
  <c r="F41" i="4" s="1"/>
  <c r="D42" i="4" l="1"/>
  <c r="F42" i="4" s="1"/>
  <c r="D43" i="4"/>
  <c r="F43" i="4" s="1"/>
  <c r="D44" i="4"/>
  <c r="F44" i="4" s="1"/>
  <c r="D46" i="4"/>
  <c r="F46" i="4" s="1"/>
  <c r="D21" i="3"/>
  <c r="E16" i="3"/>
  <c r="D16" i="3"/>
  <c r="F15" i="3"/>
  <c r="F13" i="3"/>
  <c r="F14" i="3"/>
  <c r="F12" i="3"/>
  <c r="F21" i="3"/>
  <c r="H23" i="3" s="1"/>
  <c r="G3" i="6" s="1"/>
  <c r="N20" i="1" l="1"/>
  <c r="M20" i="1"/>
  <c r="S50" i="1" l="1"/>
  <c r="S44" i="1"/>
  <c r="R44" i="1"/>
  <c r="S43" i="1"/>
  <c r="R43" i="1"/>
  <c r="S42" i="1"/>
  <c r="R42" i="1"/>
  <c r="S41" i="1"/>
  <c r="R41" i="1"/>
  <c r="S40" i="1"/>
  <c r="R40" i="1"/>
  <c r="S38" i="1"/>
  <c r="R38" i="1"/>
  <c r="R15" i="1"/>
  <c r="S7" i="1"/>
  <c r="R7" i="1"/>
  <c r="S8" i="1"/>
  <c r="R8" i="1"/>
  <c r="B5" i="3" l="1"/>
  <c r="D1" i="1" l="1"/>
  <c r="D22" i="5" l="1"/>
  <c r="D21" i="5"/>
  <c r="C12" i="5"/>
  <c r="E10" i="5"/>
  <c r="E11" i="5"/>
  <c r="E9" i="5"/>
  <c r="E12" i="5" l="1"/>
  <c r="C17" i="5" s="1"/>
  <c r="L42" i="1" l="1"/>
  <c r="K42" i="1"/>
  <c r="L8" i="1" l="1"/>
  <c r="M42" i="1"/>
  <c r="M57" i="1"/>
  <c r="N42" i="1"/>
  <c r="N57" i="1"/>
  <c r="M23" i="1"/>
  <c r="N21" i="1"/>
  <c r="N37" i="1"/>
  <c r="M37" i="1"/>
  <c r="L43" i="1"/>
  <c r="N43" i="1" s="1"/>
  <c r="M10" i="1"/>
  <c r="N10" i="1"/>
  <c r="L7" i="1"/>
  <c r="N11" i="1"/>
  <c r="N12" i="1"/>
  <c r="N13" i="1"/>
  <c r="N15" i="1"/>
  <c r="N16" i="1"/>
  <c r="N49" i="1"/>
  <c r="M49" i="1"/>
  <c r="N51" i="1"/>
  <c r="N50" i="1"/>
  <c r="L44" i="1"/>
  <c r="N44" i="1" s="1"/>
  <c r="L40" i="1"/>
  <c r="N40" i="1" s="1"/>
  <c r="L41" i="1"/>
  <c r="N41" i="1" s="1"/>
  <c r="M47" i="1"/>
  <c r="M46" i="1"/>
  <c r="M51" i="1"/>
  <c r="M50" i="1"/>
  <c r="K44" i="1"/>
  <c r="M44" i="1" s="1"/>
  <c r="K40" i="1"/>
  <c r="M40" i="1" s="1"/>
  <c r="K41" i="1"/>
  <c r="M41" i="1" s="1"/>
  <c r="K43" i="1"/>
  <c r="M43" i="1" s="1"/>
  <c r="N38" i="1"/>
  <c r="K38" i="1"/>
  <c r="M38" i="1" s="1"/>
  <c r="M24" i="1"/>
  <c r="M27" i="1"/>
  <c r="N28" i="1"/>
  <c r="M28" i="1"/>
  <c r="N29" i="1"/>
  <c r="M29" i="1"/>
  <c r="N30" i="1"/>
  <c r="M30" i="1"/>
  <c r="M31" i="1"/>
  <c r="N33" i="1"/>
  <c r="M33" i="1"/>
  <c r="M22" i="1" l="1"/>
  <c r="M26" i="1"/>
  <c r="M25" i="1"/>
  <c r="M21" i="1"/>
  <c r="M16" i="1"/>
  <c r="K15" i="1"/>
  <c r="M15" i="1" s="1"/>
  <c r="K14" i="1"/>
  <c r="M14" i="1" s="1"/>
  <c r="M13" i="1"/>
  <c r="M12" i="1"/>
  <c r="M11" i="1"/>
  <c r="N4" i="1"/>
  <c r="K8" i="1" l="1"/>
  <c r="E8" i="1" s="1"/>
  <c r="H98" i="3"/>
  <c r="G98" i="3"/>
  <c r="C97" i="3"/>
  <c r="C110" i="3" l="1"/>
  <c r="C72" i="3"/>
  <c r="C39" i="3"/>
  <c r="C21" i="3"/>
  <c r="E13" i="3"/>
  <c r="E14" i="3"/>
  <c r="E12" i="3"/>
  <c r="D13" i="3"/>
  <c r="D14" i="3"/>
  <c r="D12" i="3"/>
  <c r="C14" i="3"/>
  <c r="C13" i="3"/>
  <c r="C12" i="3"/>
  <c r="A3" i="5"/>
  <c r="B12" i="5"/>
  <c r="D13" i="5" s="1"/>
  <c r="A4" i="5"/>
  <c r="C13" i="5" l="1"/>
  <c r="G94" i="3"/>
  <c r="H93" i="3"/>
  <c r="D33" i="4"/>
  <c r="F33" i="4" s="1"/>
  <c r="F36" i="4" s="1"/>
  <c r="F48" i="4" s="1"/>
  <c r="H94" i="3" l="1"/>
  <c r="G36" i="4"/>
  <c r="C65" i="3" l="1"/>
  <c r="C64" i="3"/>
  <c r="C44" i="3"/>
  <c r="C43" i="3"/>
  <c r="C24" i="2" l="1"/>
  <c r="B24" i="2"/>
  <c r="B131" i="3" l="1"/>
  <c r="B130" i="3"/>
  <c r="B129" i="3"/>
  <c r="B8" i="3" l="1"/>
  <c r="B7" i="3"/>
  <c r="E93" i="3" l="1"/>
  <c r="F93" i="3" s="1"/>
  <c r="E97" i="3"/>
  <c r="F97" i="3" s="1"/>
  <c r="F98" i="3" s="1"/>
  <c r="J119" i="3"/>
  <c r="J120" i="3"/>
  <c r="J116" i="3"/>
  <c r="J121" i="3"/>
  <c r="J118" i="3"/>
  <c r="D80" i="3"/>
  <c r="C45" i="3"/>
  <c r="C46" i="3" s="1"/>
  <c r="B45" i="3"/>
  <c r="B46" i="3" s="1"/>
  <c r="D39" i="3"/>
  <c r="E39" i="3" s="1"/>
  <c r="E40" i="3" s="1"/>
  <c r="C35" i="3"/>
  <c r="E36" i="3" s="1"/>
  <c r="C15" i="3"/>
  <c r="J117" i="3" s="1"/>
  <c r="J93" i="3" l="1"/>
  <c r="J94" i="3" s="1"/>
  <c r="F94" i="3"/>
  <c r="J97" i="3"/>
  <c r="J98" i="3" s="1"/>
  <c r="J124" i="3"/>
  <c r="J125" i="3" s="1"/>
  <c r="M5" i="1"/>
  <c r="K7" i="1"/>
  <c r="N32" i="1"/>
  <c r="M32" i="1"/>
  <c r="J131" i="3" l="1"/>
  <c r="M125" i="3"/>
  <c r="M7" i="1"/>
  <c r="E80" i="3"/>
  <c r="C66" i="3"/>
  <c r="C67" i="3" s="1"/>
  <c r="C68" i="3" s="1"/>
  <c r="C70" i="3" s="1"/>
  <c r="D10" i="6"/>
  <c r="C55" i="3"/>
  <c r="D55" i="3" s="1"/>
  <c r="C56" i="3"/>
  <c r="D56" i="3" s="1"/>
  <c r="B47" i="3"/>
  <c r="B48" i="3"/>
  <c r="C48" i="3"/>
  <c r="C47" i="3"/>
  <c r="M4" i="1"/>
  <c r="N14" i="1"/>
  <c r="N5" i="1"/>
  <c r="N6" i="1"/>
  <c r="N7" i="1"/>
  <c r="N9" i="1"/>
  <c r="N18" i="1"/>
  <c r="N19" i="1"/>
  <c r="N22" i="1"/>
  <c r="N23" i="1"/>
  <c r="N24" i="1"/>
  <c r="N25" i="1"/>
  <c r="N26" i="1"/>
  <c r="N27" i="1"/>
  <c r="N31" i="1"/>
  <c r="N35" i="1"/>
  <c r="N36" i="1"/>
  <c r="N46" i="1"/>
  <c r="N47" i="1"/>
  <c r="M6" i="1"/>
  <c r="M9" i="1"/>
  <c r="M18" i="1"/>
  <c r="M19" i="1"/>
  <c r="M35" i="1"/>
  <c r="M36" i="1"/>
  <c r="E48" i="3" l="1"/>
  <c r="E57" i="3"/>
  <c r="H57" i="3" s="1"/>
  <c r="H80" i="3"/>
  <c r="E23" i="3"/>
  <c r="M144" i="3"/>
  <c r="G17" i="6" s="1"/>
  <c r="H40" i="3"/>
  <c r="H36" i="3"/>
  <c r="G10" i="6"/>
  <c r="D20" i="5"/>
  <c r="B20" i="5" s="1"/>
  <c r="B23" i="5" s="1"/>
  <c r="D23" i="5" s="1"/>
  <c r="C73" i="3"/>
  <c r="E75" i="3" s="1"/>
  <c r="H75" i="3" s="1"/>
  <c r="C111" i="3"/>
  <c r="C109" i="3"/>
  <c r="C140" i="3"/>
  <c r="M8" i="1"/>
  <c r="N8" i="1"/>
  <c r="O8" i="1"/>
  <c r="D3" i="6" l="1"/>
  <c r="H48" i="3"/>
  <c r="E50" i="3"/>
  <c r="J113" i="3"/>
  <c r="C141" i="3"/>
  <c r="J142" i="3" s="1"/>
  <c r="M142" i="3" s="1"/>
  <c r="G16" i="6" s="1"/>
  <c r="J100" i="3"/>
  <c r="J130" i="3" l="1"/>
  <c r="M113" i="3"/>
  <c r="G9" i="6" s="1"/>
  <c r="E51" i="3"/>
  <c r="H50" i="3"/>
  <c r="D9" i="6"/>
  <c r="J137" i="3"/>
  <c r="M137" i="3" s="1"/>
  <c r="G15" i="6" s="1"/>
  <c r="J104" i="3"/>
  <c r="D16" i="6"/>
  <c r="J102" i="3"/>
  <c r="J106" i="3" l="1"/>
  <c r="D8" i="6"/>
  <c r="J129" i="3" l="1"/>
  <c r="M106" i="3"/>
  <c r="G8" i="6" s="1"/>
  <c r="D15" i="6"/>
  <c r="E11" i="2" l="1"/>
  <c r="E15" i="2" s="1"/>
  <c r="E19" i="2" s="1"/>
  <c r="E23" i="2" s="1"/>
  <c r="E25" i="2" s="1"/>
  <c r="E27" i="2" s="1"/>
  <c r="E28" i="2" s="1"/>
  <c r="E4" i="1" l="1"/>
  <c r="G58" i="1" l="1"/>
  <c r="F28" i="3" s="1"/>
  <c r="E30" i="3" s="1"/>
  <c r="E82" i="3" l="1"/>
  <c r="H82" i="3" s="1"/>
  <c r="E84" i="3"/>
  <c r="H84" i="3" s="1"/>
  <c r="M89" i="3" s="1"/>
  <c r="C11" i="2"/>
  <c r="C15" i="2" s="1"/>
  <c r="C19" i="2" s="1"/>
  <c r="C23" i="2" s="1"/>
  <c r="C25" i="2" s="1"/>
  <c r="C27" i="2" s="1"/>
  <c r="C28" i="2" s="1"/>
  <c r="G1" i="1"/>
  <c r="H30" i="3"/>
  <c r="J89" i="3" l="1"/>
  <c r="D4" i="6"/>
  <c r="E155" i="3" l="1"/>
  <c r="G27" i="6" s="1"/>
  <c r="G4" i="6"/>
  <c r="G6" i="6" s="1"/>
  <c r="G12" i="6" s="1"/>
  <c r="G19" i="6" s="1"/>
  <c r="E156" i="3"/>
  <c r="G28" i="6" s="1"/>
  <c r="E154" i="3"/>
  <c r="G26" i="6" s="1"/>
  <c r="D6" i="6"/>
  <c r="D12" i="6" s="1"/>
  <c r="D19" i="6" s="1"/>
  <c r="J128" i="3"/>
  <c r="J132" i="3" s="1"/>
  <c r="J147" i="3" s="1"/>
  <c r="M147" i="3" s="1"/>
  <c r="M132" i="3" l="1"/>
  <c r="J150" i="3" l="1"/>
  <c r="D22" i="6" l="1"/>
  <c r="M150" i="3"/>
  <c r="G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Saller, Julia (LfL)</author>
  </authors>
  <commentList>
    <comment ref="B18" authorId="0" shapeId="0" xr:uid="{C82B1454-BF99-4543-8C36-303E25A52DD2}">
      <text>
        <r>
          <rPr>
            <b/>
            <sz val="9"/>
            <color indexed="81"/>
            <rFont val="Tahoma"/>
            <family val="2"/>
          </rPr>
          <t>Saller, Julia (LfL):</t>
        </r>
        <r>
          <rPr>
            <sz val="9"/>
            <color indexed="81"/>
            <rFont val="Tahoma"/>
            <family val="2"/>
          </rPr>
          <t xml:space="preserve">
Siehe "Gebäude und bauliche Anlagen, Maschinen, Geräte, Sonstige Investitionsgüter"</t>
        </r>
      </text>
    </comment>
    <comment ref="B19" authorId="0" shapeId="0" xr:uid="{88C1D596-C238-4F30-95FF-84181A71F66B}">
      <text>
        <r>
          <rPr>
            <b/>
            <sz val="9"/>
            <color indexed="81"/>
            <rFont val="Tahoma"/>
            <family val="2"/>
          </rPr>
          <t>Saller, Julia (LfL):</t>
        </r>
        <r>
          <rPr>
            <sz val="9"/>
            <color indexed="81"/>
            <rFont val="Tahoma"/>
            <family val="2"/>
          </rPr>
          <t xml:space="preserve">
Siehe Modul "Personalkosten Arbeiten festangestellte AK" </t>
        </r>
      </text>
    </comment>
    <comment ref="B20" authorId="0" shapeId="0" xr:uid="{982A4266-FFE3-4DC6-BA97-BC89DA196E08}">
      <text>
        <r>
          <rPr>
            <b/>
            <sz val="9"/>
            <color indexed="81"/>
            <rFont val="Tahoma"/>
            <family val="2"/>
          </rPr>
          <t>Saller, Julia (LfL):</t>
        </r>
        <r>
          <rPr>
            <sz val="9"/>
            <color indexed="81"/>
            <rFont val="Tahoma"/>
            <family val="2"/>
          </rPr>
          <t xml:space="preserve">
Auf die Angabe eines Zinsansatzes für das Umlaufkapital wird in der Vorbelegung wegen Geringfügigkeit verzichtet. Sollten im Einzelfall höhere Ansätze auf das eingesetzte Kapital notwendig sein, sind diese hier einzugeben.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Saller, Julia (LfL)</author>
  </authors>
  <commentList>
    <comment ref="B74" authorId="0" shapeId="0" xr:uid="{60EC321A-2EA9-49CB-A0A5-AC2E1FA9E2D1}">
      <text>
        <r>
          <rPr>
            <b/>
            <sz val="9"/>
            <color indexed="81"/>
            <rFont val="Tahoma"/>
            <family val="2"/>
          </rPr>
          <t>Saller, Julia (LfL):</t>
        </r>
        <r>
          <rPr>
            <sz val="9"/>
            <color indexed="81"/>
            <rFont val="Tahoma"/>
            <family val="2"/>
          </rPr>
          <t xml:space="preserve">
Bruttlohn plus ggf. weitere Arbeitgeberkosten (z.B. Sozialverischerung)</t>
        </r>
      </text>
    </comment>
    <comment ref="E104" authorId="0" shapeId="0" xr:uid="{A450385A-D6D8-4AD0-B2CB-F66CB303E878}">
      <text>
        <r>
          <rPr>
            <b/>
            <sz val="9"/>
            <color indexed="81"/>
            <rFont val="Tahoma"/>
            <family val="2"/>
          </rPr>
          <t>Saller, Julia (LfL):</t>
        </r>
        <r>
          <rPr>
            <sz val="9"/>
            <color indexed="81"/>
            <rFont val="Tahoma"/>
            <family val="2"/>
          </rPr>
          <t xml:space="preserve">
, da über die Laufzeit betrachtet im Durchschnitt die Hälfte des Kapitals gebunden ist.</t>
        </r>
      </text>
    </comment>
    <comment ref="B112" authorId="0" shapeId="0" xr:uid="{40741298-3084-434D-9A98-14B53A15D67F}">
      <text>
        <r>
          <rPr>
            <b/>
            <sz val="9"/>
            <color indexed="81"/>
            <rFont val="Tahoma"/>
            <family val="2"/>
          </rPr>
          <t>Saller, Julia (LfL):</t>
        </r>
        <r>
          <rPr>
            <sz val="9"/>
            <color indexed="81"/>
            <rFont val="Tahoma"/>
            <family val="2"/>
          </rPr>
          <t xml:space="preserve">
Bruttlohn plus ggf. weitere Arbeitgeberkosten (z.B. Sozialverischerung)</t>
        </r>
      </text>
    </comment>
    <comment ref="B116" authorId="0" shapeId="0" xr:uid="{C22AC7B2-6E8E-4860-B62A-1AE25862AD88}">
      <text>
        <r>
          <rPr>
            <b/>
            <sz val="9"/>
            <color indexed="81"/>
            <rFont val="Tahoma"/>
            <family val="2"/>
          </rPr>
          <t>Saller, Julia (LfL):</t>
        </r>
        <r>
          <rPr>
            <sz val="9"/>
            <color indexed="81"/>
            <rFont val="Tahoma"/>
            <family val="2"/>
          </rPr>
          <t xml:space="preserve">
Quelle: LfL, Kennzahlenermittlung, hochgerechnet mit Preisindex auf 4/2019</t>
        </r>
      </text>
    </comment>
    <comment ref="B117" authorId="0" shapeId="0" xr:uid="{540FD105-1402-4369-B962-87493F2F7ED4}">
      <text>
        <r>
          <rPr>
            <b/>
            <sz val="9"/>
            <color indexed="81"/>
            <rFont val="Tahoma"/>
            <family val="2"/>
          </rPr>
          <t>Saller, Julia (LfL):</t>
        </r>
        <r>
          <rPr>
            <sz val="9"/>
            <color indexed="81"/>
            <rFont val="Tahoma"/>
            <family val="2"/>
          </rPr>
          <t xml:space="preserve">
GEZ-Fernseh- und Radiogebühren:
Erste Einheit ist frei, jede weitere Einheit 5,83 € je Monat, Aufenthaltsräume zählen mit (Stand 2019). 
</t>
        </r>
      </text>
    </comment>
    <comment ref="B118" authorId="0" shapeId="0" xr:uid="{963FDD71-599B-4FF5-BEB9-E6DAE2A45ABE}">
      <text>
        <r>
          <rPr>
            <b/>
            <sz val="9"/>
            <color indexed="81"/>
            <rFont val="Tahoma"/>
            <family val="2"/>
          </rPr>
          <t>Saller, Julia (LfL):</t>
        </r>
        <r>
          <rPr>
            <sz val="9"/>
            <color indexed="81"/>
            <rFont val="Tahoma"/>
            <family val="2"/>
          </rPr>
          <t xml:space="preserve">
In der Vorbelegung werden für Müll 152 € angesetzt.
Quelle: LfL, Kennzahlenermittlung, hochgerechnet mit Preisindex auf 4/2019 </t>
        </r>
      </text>
    </comment>
    <comment ref="B119" authorId="0" shapeId="0" xr:uid="{38201906-8677-4A47-B6BC-F2E9DF714CEC}">
      <text>
        <r>
          <rPr>
            <b/>
            <sz val="9"/>
            <color indexed="81"/>
            <rFont val="Tahoma"/>
            <family val="2"/>
          </rPr>
          <t>Saller, Julia (LfL):</t>
        </r>
        <r>
          <rPr>
            <sz val="9"/>
            <color indexed="81"/>
            <rFont val="Tahoma"/>
            <family val="2"/>
          </rPr>
          <t xml:space="preserve">
Klassifizierungskosten (unterschiedliche Kosten je nach durchführender Organisation und Anzahl der FWG) , Mitgliedschaften bei DLG, Landesarbeitsgemeinschaft für UadB in Bayern,  regionale Anbietergemeinschaften UadB, Tourismusverbände
Quelle: eigene Berechnungen, Stand 2019</t>
        </r>
      </text>
    </comment>
    <comment ref="B120" authorId="0" shapeId="0" xr:uid="{D2A7272F-5957-444A-BC1D-C5C6CFFA7E93}">
      <text>
        <r>
          <rPr>
            <b/>
            <sz val="9"/>
            <color indexed="81"/>
            <rFont val="Tahoma"/>
            <family val="2"/>
          </rPr>
          <t>Saller, Julia (LfL):</t>
        </r>
        <r>
          <rPr>
            <sz val="9"/>
            <color indexed="81"/>
            <rFont val="Tahoma"/>
            <family val="2"/>
          </rPr>
          <t xml:space="preserve">
Ausgaben für Kataloge, Flyer, Internetplattformen, Homepage u.s.w.
Die Ausgaben sind sehr unterschiedlich, durchschnittlich können 1500 bis 2500 € pro Jahr angesetzt werden.
Quelle: eigene Erhebungen, Stand 2019 </t>
        </r>
      </text>
    </comment>
    <comment ref="B121" authorId="0" shapeId="0" xr:uid="{463C62BC-D59B-48FA-8948-A96A79B1F567}">
      <text>
        <r>
          <rPr>
            <b/>
            <sz val="9"/>
            <color indexed="81"/>
            <rFont val="Tahoma"/>
            <family val="2"/>
          </rPr>
          <t>Saller, Julia (LfL):</t>
        </r>
        <r>
          <rPr>
            <sz val="9"/>
            <color indexed="81"/>
            <rFont val="Tahoma"/>
            <family val="2"/>
          </rPr>
          <t xml:space="preserve">
Ausgaben für Gebäude(brand)versicherung (Anteil Ferienbetrieb), Hausratversicherung (Anteil Ferienbetrieb), Haftpflichtversicherung für Feriengäste und sonstige Versicherungen (z.B. für Reiter). Kosten abhängig von Versicherungsträger, Gebäuden, Angebot und Anspruch des Betriebsleiters. 
In der Vorbelegung werden für Haftplicht 109 €, für Brandversicherung 230 € und für sonstige Versicherungen (Hausrat, Versicherung für Reiter, etc.) 147 € angesetzt. 
Quelle: LFL-Kennzahlenermittlung, hochgerechnet mit Preisindex auf 4/2019 </t>
        </r>
      </text>
    </comment>
    <comment ref="B122" authorId="0" shapeId="0" xr:uid="{E1D8849C-D9A4-4F72-8BB7-74E8BB7EEF72}">
      <text>
        <r>
          <rPr>
            <b/>
            <sz val="9"/>
            <color indexed="81"/>
            <rFont val="Tahoma"/>
            <family val="2"/>
          </rPr>
          <t>Saller, Julia (LfL):</t>
        </r>
        <r>
          <rPr>
            <sz val="9"/>
            <color indexed="81"/>
            <rFont val="Tahoma"/>
            <family val="2"/>
          </rPr>
          <t xml:space="preserve">
Zum Beispiel Grundsteuer oder Gewerbesteuer, jeweils anteilig auf das Produktionsverfahren bezogen.
Quelle: LfL-Kennzahlenermittlung, hochgerechnet mit Preisindex 4/2019
Umsatzsteuer ist hier nicht einzugeben, da diese entweder nur einen durchlaufenden Posten darstellt (Regelbesteuerung) oder nicht zu berücksichtigen ist (Kleinunternehmerregelung).</t>
        </r>
      </text>
    </comment>
    <comment ref="B123" authorId="0" shapeId="0" xr:uid="{5492EEC8-2416-4C60-8BD1-18FB1403B142}">
      <text>
        <r>
          <rPr>
            <b/>
            <sz val="9"/>
            <color indexed="81"/>
            <rFont val="Tahoma"/>
            <family val="2"/>
          </rPr>
          <t>Saller, Julia (LfL):</t>
        </r>
        <r>
          <rPr>
            <sz val="9"/>
            <color indexed="81"/>
            <rFont val="Tahoma"/>
            <family val="2"/>
          </rPr>
          <t xml:space="preserve">
Zum Beispiel für Fortbildung, Fahrzeugkosten (Steuern, Versicherung), Mieten, Leasing, Pacht, Fremdenverkehrsabgabe (soweit nicht den Gästen verrechnet), Steuerberater, etc. </t>
        </r>
      </text>
    </comment>
    <comment ref="B137" authorId="0" shapeId="0" xr:uid="{D271B96B-5068-4120-ABF6-37821F4B712F}">
      <text>
        <r>
          <rPr>
            <b/>
            <sz val="9"/>
            <color indexed="81"/>
            <rFont val="Tahoma"/>
            <family val="2"/>
          </rPr>
          <t>Saller, Julia (LfL):</t>
        </r>
        <r>
          <rPr>
            <sz val="9"/>
            <color indexed="81"/>
            <rFont val="Tahoma"/>
            <family val="2"/>
          </rPr>
          <t xml:space="preserve">
Siehe "Gebäude und bauliche Anlagen, Maschinen, Geräte, Sonstige Investitionsgüter"</t>
        </r>
      </text>
    </comment>
    <comment ref="D137" authorId="0" shapeId="0" xr:uid="{742C7F24-E57D-47A5-8F0D-7A650BBD20A8}">
      <text>
        <r>
          <rPr>
            <b/>
            <sz val="9"/>
            <color indexed="81"/>
            <rFont val="Tahoma"/>
            <family val="2"/>
          </rPr>
          <t>Saller, Julia (LfL):</t>
        </r>
        <r>
          <rPr>
            <sz val="9"/>
            <color indexed="81"/>
            <rFont val="Tahoma"/>
            <family val="2"/>
          </rPr>
          <t xml:space="preserve">
, da über die Laufzeit betrachtet im Durchschnitt die Hälfte des Kapitals gebunden ist.</t>
        </r>
      </text>
    </comment>
    <comment ref="B139" authorId="0" shapeId="0" xr:uid="{5FA2A05A-ABEC-4CE5-8907-E35B8FA9B921}">
      <text>
        <r>
          <rPr>
            <b/>
            <sz val="9"/>
            <color indexed="81"/>
            <rFont val="Tahoma"/>
            <family val="2"/>
          </rPr>
          <t>Saller, Julia (LfL):</t>
        </r>
        <r>
          <rPr>
            <sz val="9"/>
            <color indexed="81"/>
            <rFont val="Tahoma"/>
            <family val="2"/>
          </rPr>
          <t xml:space="preserve">
Siehe Modul "Personalkosten Arbeiten festangestellte AK" </t>
        </r>
      </text>
    </comment>
    <comment ref="B144" authorId="0" shapeId="0" xr:uid="{3EF7A53E-5C56-4791-B69F-22B7C336DD08}">
      <text>
        <r>
          <rPr>
            <b/>
            <sz val="9"/>
            <color indexed="81"/>
            <rFont val="Tahoma"/>
            <family val="2"/>
          </rPr>
          <t>Saller, Julia (LfL):</t>
        </r>
        <r>
          <rPr>
            <sz val="9"/>
            <color indexed="81"/>
            <rFont val="Tahoma"/>
            <family val="2"/>
          </rPr>
          <t xml:space="preserve">
Auf die Angabe eines Zinsansatzes für das Umlaufkapital wird in der Vorbelegung wegen Geringfügigkeit verzichtet. Sollten im Einzelfall höhere Ansätze auf das eingesetzte Kapital notwendig sein, sind diese hier einzugeben.</t>
        </r>
      </text>
    </comment>
  </commentList>
</comments>
</file>

<file path=xl/sharedStrings.xml><?xml version="1.0" encoding="utf-8"?>
<sst xmlns="http://schemas.openxmlformats.org/spreadsheetml/2006/main" count="555" uniqueCount="304">
  <si>
    <t>Produkt</t>
  </si>
  <si>
    <t>konvent-ionell</t>
  </si>
  <si>
    <t>öko-logisch</t>
  </si>
  <si>
    <t>€/Einheit</t>
  </si>
  <si>
    <t>Menge pro Portion</t>
  </si>
  <si>
    <t xml:space="preserve">Kaffee </t>
  </si>
  <si>
    <t>€/kg</t>
  </si>
  <si>
    <t>g</t>
  </si>
  <si>
    <t xml:space="preserve">Milch für Kaffee </t>
  </si>
  <si>
    <t>€/l</t>
  </si>
  <si>
    <t>Zucker</t>
  </si>
  <si>
    <t>Tee</t>
  </si>
  <si>
    <t>B.</t>
  </si>
  <si>
    <t>Semmel</t>
  </si>
  <si>
    <t>€/Stk.</t>
  </si>
  <si>
    <t>Stk.</t>
  </si>
  <si>
    <t>Vollkornbrötchen</t>
  </si>
  <si>
    <t xml:space="preserve">Mischbrot </t>
  </si>
  <si>
    <t xml:space="preserve">Vollkornbrot </t>
  </si>
  <si>
    <t xml:space="preserve">Butter </t>
  </si>
  <si>
    <t xml:space="preserve">Honig </t>
  </si>
  <si>
    <t>Nuss-Schokocreme</t>
  </si>
  <si>
    <t>Schnittkäse</t>
  </si>
  <si>
    <t xml:space="preserve">Schinken </t>
  </si>
  <si>
    <t>Knuspermüsli</t>
  </si>
  <si>
    <t>Haferflocken</t>
  </si>
  <si>
    <t>Joghurt natur</t>
  </si>
  <si>
    <t>Porridge</t>
  </si>
  <si>
    <t>Frischkäse</t>
  </si>
  <si>
    <t>Rührei</t>
  </si>
  <si>
    <t>Bircher-Müsli</t>
  </si>
  <si>
    <t>Croissant</t>
  </si>
  <si>
    <t>Overnight-Oat</t>
  </si>
  <si>
    <t>Chia-Pudding mit Obst, Nüssen</t>
  </si>
  <si>
    <t>Sekt</t>
  </si>
  <si>
    <t>netto</t>
  </si>
  <si>
    <t>brutto</t>
  </si>
  <si>
    <t>Multivitaminsaft</t>
  </si>
  <si>
    <t>Orangensaft</t>
  </si>
  <si>
    <t>Apfelsaft</t>
  </si>
  <si>
    <t>Weichkäse</t>
  </si>
  <si>
    <t>Spiegelei</t>
  </si>
  <si>
    <t>Leinsamen</t>
  </si>
  <si>
    <t>Joghurt Frucht</t>
  </si>
  <si>
    <t>Apfel</t>
  </si>
  <si>
    <t>Banane</t>
  </si>
  <si>
    <t>Kakaogetränk (Kabapulver, Milch)</t>
  </si>
  <si>
    <t>MwSt. in %</t>
  </si>
  <si>
    <t>gekochtes Ei</t>
  </si>
  <si>
    <t>Selbstkosten</t>
  </si>
  <si>
    <t>kalkulierter Preis</t>
  </si>
  <si>
    <t>ml</t>
  </si>
  <si>
    <t>Milch für Müsli</t>
  </si>
  <si>
    <t>€/Port</t>
  </si>
  <si>
    <t>€/1000 B.</t>
  </si>
  <si>
    <t>Bruttorechner</t>
  </si>
  <si>
    <t>Wareneinsatz</t>
  </si>
  <si>
    <t>Frühstück Erwachsene</t>
  </si>
  <si>
    <t>Frühstück Kinder</t>
  </si>
  <si>
    <t>FWG Kategorie</t>
  </si>
  <si>
    <t>Anzahl FWG</t>
  </si>
  <si>
    <t>Belegtage je FWG u. Jahr</t>
  </si>
  <si>
    <t>durchschn. Belegung</t>
  </si>
  <si>
    <t>Anzahl Übernachtungen je Jahr</t>
  </si>
  <si>
    <t>Personen/FWG</t>
  </si>
  <si>
    <t>Summe</t>
  </si>
  <si>
    <t>Gesamterlös aus Frühstücksangebot</t>
  </si>
  <si>
    <t xml:space="preserve"> /Betrieb u. Jahr</t>
  </si>
  <si>
    <t xml:space="preserve"> -</t>
  </si>
  <si>
    <t xml:space="preserve"> =</t>
  </si>
  <si>
    <t>Heizkosten</t>
  </si>
  <si>
    <t>mittel (bis 4 Pers.)</t>
  </si>
  <si>
    <t>klein (bis 2 Pers.)</t>
  </si>
  <si>
    <t>gross (bis 6 Pers.)</t>
  </si>
  <si>
    <t>Anteil Gäste mit Verpflegung</t>
  </si>
  <si>
    <t>MARKTLEISTUNG</t>
  </si>
  <si>
    <t>VARIABLE KOSTEN</t>
  </si>
  <si>
    <t>Kosten Wareneinsatz Frühstück</t>
  </si>
  <si>
    <t>€/Portion</t>
  </si>
  <si>
    <t>Wareneinsatz gesamt</t>
  </si>
  <si>
    <t>Lohnkosten für Aushilfkräfte</t>
  </si>
  <si>
    <t>VOLLKOSTENRECHNUNG</t>
  </si>
  <si>
    <t>Instandhaltung</t>
  </si>
  <si>
    <t>Zinsaufwand</t>
  </si>
  <si>
    <t>Personalkosten Arbeiten festangestellte AK</t>
  </si>
  <si>
    <t>Fernseh-/Radiogebühren</t>
  </si>
  <si>
    <t>Sonstige Gebühren</t>
  </si>
  <si>
    <t>Versicherungen</t>
  </si>
  <si>
    <t>Steuern</t>
  </si>
  <si>
    <t>Gewinnbeitrag</t>
  </si>
  <si>
    <t>€/Betrieb u. Jahr</t>
  </si>
  <si>
    <t>der halben eigenfinanzierten Investitionssumme</t>
  </si>
  <si>
    <t xml:space="preserve"> / Betrieb u. Jahr</t>
  </si>
  <si>
    <t xml:space="preserve">Kalkulatorische Faktorkosten sind Ansätze für die Entlohnung der eigenen Produktionsfaktoren (Arbeit, Kapital). </t>
  </si>
  <si>
    <t>Zinsansatz eigenfinanzierte Investition</t>
  </si>
  <si>
    <t>Lohnansatz nicht entlohnte AK</t>
  </si>
  <si>
    <t>Zinsansatz Umlaufkapital</t>
  </si>
  <si>
    <t xml:space="preserve"> = Gewinnbeitrag - kalkulatorische Faktorkosten</t>
  </si>
  <si>
    <t xml:space="preserve"> = (Unternehmergewinn + Lohnansatz) / Zahl der nicht entlohnten Akh</t>
  </si>
  <si>
    <t xml:space="preserve"> / Akh</t>
  </si>
  <si>
    <t>Wasser</t>
  </si>
  <si>
    <t>Abwasser</t>
  </si>
  <si>
    <t>ALLGEMEINE ANGABEN</t>
  </si>
  <si>
    <t>Verkaufspreis brutto</t>
  </si>
  <si>
    <t>Zwischensumme</t>
  </si>
  <si>
    <t>auszuweisender Netto Verkaufspreis</t>
  </si>
  <si>
    <t xml:space="preserve"> +</t>
  </si>
  <si>
    <t>Gemeinkostenaufschlag</t>
  </si>
  <si>
    <t>Gewinnaufschlag</t>
  </si>
  <si>
    <t>Serviceaufschlag</t>
  </si>
  <si>
    <t>Strom</t>
  </si>
  <si>
    <t>€/kWh</t>
  </si>
  <si>
    <t>€/Belegtag</t>
  </si>
  <si>
    <t>kWh/Belegtag</t>
  </si>
  <si>
    <t>m²</t>
  </si>
  <si>
    <t>€/m²</t>
  </si>
  <si>
    <t>€/Jahr</t>
  </si>
  <si>
    <t>Küche</t>
  </si>
  <si>
    <t>Energie, Heizung, Wasser, Abwasser</t>
  </si>
  <si>
    <t>l/Vorgang</t>
  </si>
  <si>
    <t>Vorgänge/Belegtag</t>
  </si>
  <si>
    <t>€/m³</t>
  </si>
  <si>
    <t>l/Jahr</t>
  </si>
  <si>
    <t>für Spülen</t>
  </si>
  <si>
    <t>Arbeitsbereich</t>
  </si>
  <si>
    <t>entspricht</t>
  </si>
  <si>
    <t>Entlohnung</t>
  </si>
  <si>
    <t xml:space="preserve"> /Akh</t>
  </si>
  <si>
    <t>Quelle: KTBL Datensammlung Urlaub auf dem Lande (2006), LfL-Kennzahlenermittlung 2012, 2017</t>
  </si>
  <si>
    <t>Management anteilig</t>
  </si>
  <si>
    <t>Betreuuung der Gäste anteilig</t>
  </si>
  <si>
    <t>/Betrieb u. Jahr</t>
  </si>
  <si>
    <t>ergibt Akh pro Frühstück</t>
  </si>
  <si>
    <t>durchschnittl. Entfernung in km</t>
  </si>
  <si>
    <t>€/km</t>
  </si>
  <si>
    <t>Boden</t>
  </si>
  <si>
    <t xml:space="preserve"> - rutschfest</t>
  </si>
  <si>
    <t xml:space="preserve"> - leichtes Gefälle</t>
  </si>
  <si>
    <t xml:space="preserve"> - Ablaufrinnen/öffnungen</t>
  </si>
  <si>
    <t xml:space="preserve"> -&gt; + Zuluftanlage</t>
  </si>
  <si>
    <t>Schmutzwasserausguss</t>
  </si>
  <si>
    <t>Wandflächen</t>
  </si>
  <si>
    <t xml:space="preserve"> - leicht zu reinigen/desinfizieren</t>
  </si>
  <si>
    <t>http://www.onlinehilfe-lebensmittelhygiene.de/</t>
  </si>
  <si>
    <t>http://www.onlinehilfe-lebensmittelhygiene.de/gastronomie/</t>
  </si>
  <si>
    <t>Spülmaschine</t>
  </si>
  <si>
    <t>Kühlschrank</t>
  </si>
  <si>
    <t>https://www.maran-pro.com/de/electrolux/spültechnik/untertischspülmaschinen/untertischspülmaschinen/</t>
  </si>
  <si>
    <t>https://www.maran-pro.com/de/electrolux/kühltechnik/kühl_und_tiefkühlschränke/400_l/</t>
  </si>
  <si>
    <t>https://www.gastprodo.com/elektroherde/</t>
  </si>
  <si>
    <t>Elektroherd mit Umluftofen</t>
  </si>
  <si>
    <t>Edelstahlarbeitsfläche mit Unterschrank</t>
  </si>
  <si>
    <t>https://www.gastprodo.com/edelstahl-arbeitsschraenke/</t>
  </si>
  <si>
    <t>https://www.gastprodo.com/geschirrspuelmaschinen/</t>
  </si>
  <si>
    <t>https://www.gastro-hero.de/Kochgeräte/Herde</t>
  </si>
  <si>
    <t>https://www.gastro-hero.de/Kühltechnik/Kühlschränke/Lagerkühlschränke</t>
  </si>
  <si>
    <t>https://www.gastro-hero.de/Edelstahlmöbel/Arbeitsschränke/Arbeitsschränke-mit-Schubladenblock</t>
  </si>
  <si>
    <t>Anzahl</t>
  </si>
  <si>
    <t>Kaffeemaschine</t>
  </si>
  <si>
    <t>Spülbecken</t>
  </si>
  <si>
    <t>Handwaschbecken</t>
  </si>
  <si>
    <t>https://www.gastro-hero.de/Edelstahlmöbel/Spültische</t>
  </si>
  <si>
    <t>https://www.gastro-hero.de/Spültechnik/Spülmöbel/Handwaschbecken</t>
  </si>
  <si>
    <t>https://www.gastroplus24.de/de/lueftung/abzugshauben/wandhauben/</t>
  </si>
  <si>
    <t>Abzug</t>
  </si>
  <si>
    <t>Lüftung</t>
  </si>
  <si>
    <t>https://www.gastroplus24.de/de/lueftung/lueftungsventilatoren/</t>
  </si>
  <si>
    <t>pro m²</t>
  </si>
  <si>
    <t>Fliesen Boden</t>
  </si>
  <si>
    <t>KÜCHE</t>
  </si>
  <si>
    <t>Sonstiges</t>
  </si>
  <si>
    <t>Investitionskosten</t>
  </si>
  <si>
    <t>Sonstige Festkosten</t>
  </si>
  <si>
    <t>Deckungsbeitrag Frühstücksangebot</t>
  </si>
  <si>
    <t>anteilig auf das Frühstücksangebot</t>
  </si>
  <si>
    <t>DECKUNGSBEITRAG für das Frühstücksangebot</t>
  </si>
  <si>
    <t>kostendeckender Preis pro Frühstück</t>
  </si>
  <si>
    <t>Finanzierung eigen %</t>
  </si>
  <si>
    <t>Finanzierung fremd %</t>
  </si>
  <si>
    <t>Abschreibung €/Betrieb u. Jahr</t>
  </si>
  <si>
    <t>Unternehmergewinn</t>
  </si>
  <si>
    <t>Arbeitsertrag je nicht entlohnter Akh</t>
  </si>
  <si>
    <t>Kalkulatorische Faktorkosten</t>
  </si>
  <si>
    <t>Klassifizierungskosten, Mitgliedschaften in Verbänden</t>
  </si>
  <si>
    <t>Werbungskosten</t>
  </si>
  <si>
    <t>Weitere feste Kosten</t>
  </si>
  <si>
    <t>Durchschnittserlös Verpflegung</t>
  </si>
  <si>
    <t>Durchschnittserlös aus Frühstücksangebot</t>
  </si>
  <si>
    <t>h/Woche</t>
  </si>
  <si>
    <t>des Gesamtarbeitsbedarfes</t>
  </si>
  <si>
    <t>ergibt Akh pro Betrieb und Jahr</t>
  </si>
  <si>
    <t>Kapitalkosten Investition</t>
  </si>
  <si>
    <t>Akh pro Betrieb und Jahr</t>
  </si>
  <si>
    <t xml:space="preserve">KALKULATORISCHE FAKTORKOSTEN  </t>
  </si>
  <si>
    <t>Erledigung der Arbeit durch Aushilfs-AK</t>
  </si>
  <si>
    <t>Reinigung Küche</t>
  </si>
  <si>
    <t>Unterhaltsreinigung abhängig von der Anzahl der Belegtage</t>
  </si>
  <si>
    <t>Grundreinigung (Annahme: zweimal jährlich)</t>
  </si>
  <si>
    <t>Verpflegung inkl. Anrichten, Spülen</t>
  </si>
  <si>
    <t>€/Frühstück</t>
  </si>
  <si>
    <t xml:space="preserve">Neubau? </t>
  </si>
  <si>
    <t>Ausstattung</t>
  </si>
  <si>
    <t>Neubau</t>
  </si>
  <si>
    <t>Gesamtinvestitionskosten für Ausstattung von</t>
  </si>
  <si>
    <t>Gesamtinvestitionskosten für Neubau von</t>
  </si>
  <si>
    <t>Smoothie aus Heidelb., Banane, Apfel</t>
  </si>
  <si>
    <t>Fruchtaufstrich</t>
  </si>
  <si>
    <t>Frühstücksportionen/Jahr</t>
  </si>
  <si>
    <t>Eingabefelder</t>
  </si>
  <si>
    <t>Kategorie der Ferienwohnungen (FWG)</t>
  </si>
  <si>
    <t>Durchschnitt</t>
  </si>
  <si>
    <t>Übernachtungen /Jahr</t>
  </si>
  <si>
    <t>Allgemeine Angaben zu Belegung und Übernachtungen</t>
  </si>
  <si>
    <t>Allgemeine Angaben zum Frühstücksangebot</t>
  </si>
  <si>
    <t>Arbeitszeitbedarf</t>
  </si>
  <si>
    <t>Gesamtarbeitszeitbedarf</t>
  </si>
  <si>
    <t>davon Aushilfskräfte</t>
  </si>
  <si>
    <t>davon Festangestellte</t>
  </si>
  <si>
    <t>verbleibt für Familien-Arbeitskräfte</t>
  </si>
  <si>
    <t>Akh/Jahr</t>
  </si>
  <si>
    <t xml:space="preserve"> = notwendinger Mindestpreis zur Erreichung eines Deckungsbeitrags</t>
  </si>
  <si>
    <t xml:space="preserve"> = notwendinger Mindestpreis zur Erreichung eines Gewinns</t>
  </si>
  <si>
    <t xml:space="preserve"> = notwendinger Mindestpreis zur Erreichung eines Unternehmergewinns</t>
  </si>
  <si>
    <t>-</t>
  </si>
  <si>
    <t>Sonstige variable Kosten</t>
  </si>
  <si>
    <t>Abschreib-ungsdauer in Jahre</t>
  </si>
  <si>
    <t>Abschreibung gesamt</t>
  </si>
  <si>
    <t>GEWINNBEITRAG</t>
  </si>
  <si>
    <t>Kapitalkosten Investition gesamt</t>
  </si>
  <si>
    <t>variable Kosten inkl. Personalkosten Aushilfskräfte</t>
  </si>
  <si>
    <t>Investitionsbedarf</t>
  </si>
  <si>
    <t>der halben fremdfinanzierten Investitionssumme</t>
  </si>
  <si>
    <t>Akmin</t>
  </si>
  <si>
    <t>Akh</t>
  </si>
  <si>
    <t>Akh/Betrieb u. Jahr</t>
  </si>
  <si>
    <t>durchschn. Belegung Personen /FWG</t>
  </si>
  <si>
    <t>vom Gesamterlös</t>
  </si>
  <si>
    <t xml:space="preserve">m² </t>
  </si>
  <si>
    <t>Internet, Kabel, Telefon (anteilig)</t>
  </si>
  <si>
    <t>der Investitionssumme</t>
  </si>
  <si>
    <t>Zinsansatz eigenfinanzierte Investitionssumme</t>
  </si>
  <si>
    <t>SUMME Ausstattung Küche und Speiseraum</t>
  </si>
  <si>
    <r>
      <rPr>
        <b/>
        <sz val="11"/>
        <color theme="1"/>
        <rFont val="Calibri"/>
        <family val="2"/>
        <scheme val="minor"/>
      </rPr>
      <t>Lüftungsanlage</t>
    </r>
    <r>
      <rPr>
        <sz val="11"/>
        <color theme="1"/>
        <rFont val="Calibri"/>
        <family val="2"/>
        <scheme val="minor"/>
      </rPr>
      <t xml:space="preserve"> ab Gesamtleistung der Küchengeräte über 25 kW</t>
    </r>
  </si>
  <si>
    <r>
      <rPr>
        <b/>
        <sz val="11"/>
        <color theme="1"/>
        <rFont val="Calibri"/>
        <family val="2"/>
        <scheme val="minor"/>
      </rPr>
      <t>Abluftanlagen</t>
    </r>
    <r>
      <rPr>
        <sz val="11"/>
        <color theme="1"/>
        <rFont val="Calibri"/>
        <family val="2"/>
        <scheme val="minor"/>
      </rPr>
      <t xml:space="preserve"> über allen thermischen Geräten (+ Fettfilter!)</t>
    </r>
  </si>
  <si>
    <r>
      <rPr>
        <b/>
        <sz val="11"/>
        <color theme="1"/>
        <rFont val="Calibri"/>
        <family val="2"/>
        <scheme val="minor"/>
      </rPr>
      <t>Brandschutz:</t>
    </r>
    <r>
      <rPr>
        <sz val="11"/>
        <color theme="1"/>
        <rFont val="Calibri"/>
        <family val="2"/>
        <scheme val="minor"/>
      </rPr>
      <t xml:space="preserve"> alle Wände und Decken aus nichtbrennbaren Material + ausreichend Löschmöglichkeiten!</t>
    </r>
  </si>
  <si>
    <r>
      <rPr>
        <b/>
        <sz val="11"/>
        <color theme="1"/>
        <rFont val="Calibri"/>
        <family val="2"/>
        <scheme val="minor"/>
      </rPr>
      <t>Spülbecken</t>
    </r>
    <r>
      <rPr>
        <sz val="11"/>
        <color theme="1"/>
        <rFont val="Calibri"/>
        <family val="2"/>
        <scheme val="minor"/>
      </rPr>
      <t xml:space="preserve"> getrennt vom Handwaschbecken</t>
    </r>
  </si>
  <si>
    <t>auszuweisende USt. 19 %</t>
  </si>
  <si>
    <t>Bayerische Landesanstalt für Landwirtschaft, Institut für Betriebswirtschaft und Agrarstruktur, März 2021</t>
  </si>
  <si>
    <r>
      <t xml:space="preserve">Welche Anforderungen eine Küche, in der Lebensmittel verarbeitet und zum Verzehr angeboten werden, erfüllen muss finden Sie unter:
</t>
    </r>
    <r>
      <rPr>
        <b/>
        <sz val="11"/>
        <color theme="1"/>
        <rFont val="Calibri"/>
        <family val="2"/>
        <scheme val="minor"/>
      </rPr>
      <t>http://www.onlinehilfe-lebensmittelhygiene.de/gastronomie/</t>
    </r>
  </si>
  <si>
    <t>Krafstoff für 2 Einkaufsfahrten pro Woche</t>
  </si>
  <si>
    <t>Investitions-kosten</t>
  </si>
  <si>
    <t xml:space="preserve">Aushilfs-Arbeitskräfte sind entlohnte Fremdarbeitskräfte, die nicht zum ständigen Personal gehören. </t>
  </si>
  <si>
    <t xml:space="preserve"> = DECKUNGSBEITRAG Frühstücksangebot</t>
  </si>
  <si>
    <t>Erledigung Arbeit durch Festangestellte AK</t>
  </si>
  <si>
    <t>Erledigung Arbeit durch nicht entlohnte AK</t>
  </si>
  <si>
    <t>Preisvorschlag IBA (brutto)</t>
  </si>
  <si>
    <t>Diese einfache Art der Preiskalkulation, die sogenannte Zuschlagskalkulation, wird häufig in der Gastronomie zur überschlagsmäßigen Kalkulation des Verkaufspreises verwendet! (siehe Kompendium zur Meisterausbildung Hauswirtschaft) Dabei ist zu beachten, dass höhere Kosten beim Wareneinsatz (Beispiel Öko-Lebensmittel) zu überproportionalen Aufschlägen und somit zu einem zu hohen Verkaufspreis führen können.</t>
  </si>
  <si>
    <t xml:space="preserve"> = SUMME VARIABLE KOSTEN</t>
  </si>
  <si>
    <t>Breze</t>
  </si>
  <si>
    <t>Info: Arbeitsbewertung (€/Akh) im Tabellenblatt 5) hinterlegt!</t>
  </si>
  <si>
    <t>Ansprechpartnerin:</t>
  </si>
  <si>
    <t>Julia Saller</t>
  </si>
  <si>
    <t>Bayerische Landesanstalt für Landwirtschaft</t>
  </si>
  <si>
    <t>Institut für Betriebsstruktur und Agrarökonomie</t>
  </si>
  <si>
    <t>Diversifizierung - Tourismus im ländlichen Raum</t>
  </si>
  <si>
    <t>Kleeberg 14</t>
  </si>
  <si>
    <t>94099 Ruhstorf a. d. Rott</t>
  </si>
  <si>
    <t>Telefon +49 8161 8640-5709</t>
  </si>
  <si>
    <t>julia.saller@lfl.bayern.de</t>
  </si>
  <si>
    <r>
      <t>1)</t>
    </r>
    <r>
      <rPr>
        <sz val="7"/>
        <color theme="1"/>
        <rFont val="Times New Roman"/>
        <family val="1"/>
      </rPr>
      <t xml:space="preserve">     </t>
    </r>
    <r>
      <rPr>
        <sz val="11"/>
        <color theme="1"/>
        <rFont val="Calibri"/>
        <family val="2"/>
        <scheme val="minor"/>
      </rPr>
      <t>Wareneinsatz:</t>
    </r>
  </si>
  <si>
    <r>
      <t>2)</t>
    </r>
    <r>
      <rPr>
        <sz val="7"/>
        <color theme="1"/>
        <rFont val="Times New Roman"/>
        <family val="1"/>
      </rPr>
      <t xml:space="preserve">     </t>
    </r>
    <r>
      <rPr>
        <sz val="11"/>
        <color theme="1"/>
        <rFont val="Calibri"/>
        <family val="2"/>
        <scheme val="minor"/>
      </rPr>
      <t xml:space="preserve">Angaben DB: </t>
    </r>
  </si>
  <si>
    <t>allgemeine Angaben zum Betrieb und dem Frühstücksangebot eintragen</t>
  </si>
  <si>
    <r>
      <t>3)</t>
    </r>
    <r>
      <rPr>
        <sz val="7"/>
        <color theme="1"/>
        <rFont val="Times New Roman"/>
        <family val="1"/>
      </rPr>
      <t xml:space="preserve">     </t>
    </r>
    <r>
      <rPr>
        <sz val="11"/>
        <color theme="1"/>
        <rFont val="Calibri"/>
        <family val="2"/>
        <scheme val="minor"/>
      </rPr>
      <t xml:space="preserve">Ergebnis DB kurz: </t>
    </r>
  </si>
  <si>
    <r>
      <t>4)</t>
    </r>
    <r>
      <rPr>
        <sz val="7"/>
        <color theme="1"/>
        <rFont val="Times New Roman"/>
        <family val="1"/>
      </rPr>
      <t>    </t>
    </r>
    <r>
      <rPr>
        <sz val="11"/>
        <color theme="1"/>
        <rFont val="Calibri"/>
        <family val="2"/>
        <scheme val="minor"/>
      </rPr>
      <t>DB Grafik:</t>
    </r>
  </si>
  <si>
    <t>grafische Darstellung der Rentabilität</t>
  </si>
  <si>
    <t>kompakte Ergebnis-Darstellung zu Deckungsbeitrags- und Vollkosten-Berechnung</t>
  </si>
  <si>
    <r>
      <t>5)</t>
    </r>
    <r>
      <rPr>
        <sz val="7"/>
        <color theme="1"/>
        <rFont val="Times New Roman"/>
        <family val="1"/>
      </rPr>
      <t>    </t>
    </r>
    <r>
      <rPr>
        <sz val="11"/>
        <color theme="1"/>
        <rFont val="Calibri"/>
        <family val="2"/>
        <scheme val="minor"/>
      </rPr>
      <t>Ergebnis DB ausführlich:</t>
    </r>
  </si>
  <si>
    <t>ausführliche Darstellung der Deckungsbeitrags- und Vollkosten-Berechnung</t>
  </si>
  <si>
    <t>Für Fragen und Anregungen rund um die Excel-Anwendung stehen wir Ihnen gerne zur Verfügung.</t>
  </si>
  <si>
    <t>Die Werte im folgenden Berechnungsschema "Ergebnis DB kurz" ergeben sich aus den Berechnungen in "5) Ergebnis DB ausführlich"!</t>
  </si>
  <si>
    <t>Preis pro Frühstückskorb</t>
  </si>
  <si>
    <t>Bayerische Landesanstalt für Landwirtschaft, Institut für Betriebswirtschaft und Agrarstruktur, Dezember 2021</t>
  </si>
  <si>
    <t>Wareneinsatz pro Frühstückskorb</t>
  </si>
  <si>
    <t>Gesamt Akmin pro Frühstück</t>
  </si>
  <si>
    <t>kostendeckender Preis pro Frühstückskorb</t>
  </si>
  <si>
    <t xml:space="preserve"> /Frühstückskorb</t>
  </si>
  <si>
    <t>Frühstückskörbe/Jahr</t>
  </si>
  <si>
    <t>Weidekorb</t>
  </si>
  <si>
    <t xml:space="preserve">4 Vorratsdosen Glas </t>
  </si>
  <si>
    <t>Milchflasche</t>
  </si>
  <si>
    <t>Isolierkanne</t>
  </si>
  <si>
    <t>Anschaffungskosten Frühstückskorb</t>
  </si>
  <si>
    <t xml:space="preserve"> /Stück</t>
  </si>
  <si>
    <t>durchschnittlicher Preis pro Frühstückskorb</t>
  </si>
  <si>
    <t>Milch</t>
  </si>
  <si>
    <t>Anzahl Portionen</t>
  </si>
  <si>
    <t>durchschnittlicher Wareneinsatz Frühstückskorb</t>
  </si>
  <si>
    <t>Haferdrink</t>
  </si>
  <si>
    <t>Sojadrink</t>
  </si>
  <si>
    <t>Kalulationshilfe Frühstücksangebot auf Ferienhöfen - Frühstückskorb</t>
  </si>
  <si>
    <t>Lebensmittel für einen Frühstückskorb auswählen und ggf. Mengen- bzw. Preisangaben individuell anpassen</t>
  </si>
  <si>
    <t>Ausstattung?</t>
  </si>
  <si>
    <t>Arbeitszeitaufwand pro Frühstücksport.</t>
  </si>
  <si>
    <t>Bayerische Landesanstalt für Landwirtschaft, Institut für Agrarökonomie,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</si>
</sst>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8" formatCode="#,##0.00\ &quot;€&quot;;[Red]\-#,##0.00\ &quot;€&quot;"/>
    <numFmt numFmtId="44" formatCode="_-* #,##0.00\ &quot;€&quot;_-;\-* #,##0.00\ &quot;€&quot;_-;_-* &quot;-&quot;??\ &quot;€&quot;_-;_-@_-"/>
    <numFmt numFmtId="164" formatCode="_-* #,##0\ &quot;€&quot;_-;\-* #,##0\ &quot;€&quot;_-;_-* &quot;-&quot;??\ &quot;€&quot;_-;_-@_-"/>
    <numFmt numFmtId="165" formatCode="0.0%"/>
    <numFmt numFmtId="166" formatCode="0.0"/>
    <numFmt numFmtId="167" formatCode="_-* #,##0_-;\-* #,##0_-;_-* &quot;-&quot;??_-;_-@_-"/>
    <numFmt numFmtId="168" formatCode="0.000"/>
    <numFmt numFmtId="169" formatCode="#,##0.00\ &quot;€&quot;"/>
  </numFmts>
  <fonts count="24" x14ac:knownFonts="1">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font>
    <font>
      <sz val="11"/>
      <color theme="1"/>
      <name val="Calibri"/>
      <family val="2"/>
    </font>
    <font>
      <b/>
      <sz val="11"/>
      <color theme="1"/>
      <name val="Calibri"/>
      <family val="2"/>
      <scheme val="minor"/>
    </font>
    <font>
      <sz val="11"/>
      <color theme="9" tint="0.59999389629810485"/>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1"/>
      <color theme="0"/>
      <name val="Calibri"/>
      <family val="2"/>
    </font>
    <font>
      <b/>
      <sz val="12"/>
      <name val="Calibri"/>
      <family val="2"/>
      <scheme val="minor"/>
    </font>
    <font>
      <sz val="12"/>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2"/>
      <color theme="9" tint="0.59999389629810485"/>
      <name val="Calibri"/>
      <family val="2"/>
      <scheme val="minor"/>
    </font>
    <font>
      <sz val="12"/>
      <color theme="0"/>
      <name val="Calibri"/>
      <family val="2"/>
      <scheme val="minor"/>
    </font>
    <font>
      <b/>
      <sz val="12"/>
      <color rgb="FFFF0000"/>
      <name val="Calibri"/>
      <family val="2"/>
      <scheme val="minor"/>
    </font>
    <font>
      <b/>
      <strike/>
      <sz val="12"/>
      <color rgb="FFFF0000"/>
      <name val="Calibri"/>
      <family val="2"/>
      <scheme val="minor"/>
    </font>
    <font>
      <sz val="7"/>
      <color theme="1"/>
      <name val="Times New Roman"/>
      <family val="1"/>
    </font>
    <font>
      <u/>
      <sz val="11"/>
      <color theme="10"/>
      <name val="Calibri"/>
      <family val="2"/>
      <scheme val="minor"/>
    </font>
    <font>
      <u/>
      <sz val="11"/>
      <color theme="1"/>
      <name val="Calibri"/>
      <family val="2"/>
      <scheme val="minor"/>
    </font>
  </fonts>
  <fills count="13">
    <fill>
      <patternFill patternType="none"/>
    </fill>
    <fill>
      <patternFill patternType="gray125"/>
    </fill>
    <fill>
      <patternFill patternType="solid">
        <fgColor theme="9" tint="0.59999389629810485"/>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9" tint="0.59996337778862885"/>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s>
  <borders count="59">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style="thin">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style="medium">
        <color indexed="64"/>
      </top>
      <bottom/>
      <diagonal/>
    </border>
    <border>
      <left/>
      <right style="thick">
        <color rgb="FF0070C0"/>
      </right>
      <top style="medium">
        <color indexed="64"/>
      </top>
      <bottom/>
      <diagonal/>
    </border>
    <border>
      <left style="thick">
        <color rgb="FF0070C0"/>
      </left>
      <right/>
      <top/>
      <bottom/>
      <diagonal/>
    </border>
    <border>
      <left/>
      <right style="thick">
        <color rgb="FF0070C0"/>
      </right>
      <top/>
      <bottom/>
      <diagonal/>
    </border>
    <border>
      <left style="thick">
        <color rgb="FF0070C0"/>
      </left>
      <right/>
      <top/>
      <bottom style="medium">
        <color indexed="64"/>
      </bottom>
      <diagonal/>
    </border>
    <border>
      <left/>
      <right style="thick">
        <color rgb="FF0070C0"/>
      </right>
      <top/>
      <bottom style="medium">
        <color indexed="64"/>
      </bottom>
      <diagonal/>
    </border>
    <border>
      <left style="thick">
        <color rgb="FF0070C0"/>
      </left>
      <right/>
      <top/>
      <bottom style="thin">
        <color indexed="64"/>
      </bottom>
      <diagonal/>
    </border>
    <border>
      <left/>
      <right style="thick">
        <color rgb="FF0070C0"/>
      </right>
      <top/>
      <bottom style="thin">
        <color indexed="64"/>
      </bottom>
      <diagonal/>
    </border>
    <border>
      <left style="thick">
        <color rgb="FF0070C0"/>
      </left>
      <right/>
      <top style="thin">
        <color indexed="64"/>
      </top>
      <bottom/>
      <diagonal/>
    </border>
    <border>
      <left/>
      <right style="thick">
        <color rgb="FF0070C0"/>
      </right>
      <top style="thin">
        <color indexed="64"/>
      </top>
      <bottom/>
      <diagonal/>
    </border>
    <border>
      <left style="thick">
        <color rgb="FF0070C0"/>
      </left>
      <right style="thin">
        <color indexed="64"/>
      </right>
      <top style="thin">
        <color indexed="64"/>
      </top>
      <bottom style="thin">
        <color indexed="64"/>
      </bottom>
      <diagonal/>
    </border>
    <border>
      <left style="thick">
        <color rgb="FF0070C0"/>
      </left>
      <right/>
      <top style="thin">
        <color indexed="64"/>
      </top>
      <bottom style="thin">
        <color indexed="64"/>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2" fillId="0" borderId="0" applyNumberFormat="0" applyFill="0" applyBorder="0" applyAlignment="0" applyProtection="0"/>
  </cellStyleXfs>
  <cellXfs count="576">
    <xf numFmtId="0" fontId="0" fillId="0" borderId="0" xfId="0"/>
    <xf numFmtId="0" fontId="4" fillId="0" borderId="7" xfId="0" applyFont="1" applyBorder="1" applyAlignment="1">
      <alignment vertical="center"/>
    </xf>
    <xf numFmtId="0" fontId="4" fillId="0" borderId="8" xfId="0" applyFont="1" applyBorder="1" applyAlignment="1">
      <alignment vertical="center" wrapText="1"/>
    </xf>
    <xf numFmtId="0" fontId="0" fillId="0" borderId="8" xfId="0" applyBorder="1"/>
    <xf numFmtId="0" fontId="4" fillId="0" borderId="8" xfId="0" applyFont="1" applyFill="1" applyBorder="1" applyAlignment="1">
      <alignment vertical="center" wrapText="1"/>
    </xf>
    <xf numFmtId="0" fontId="0" fillId="0" borderId="0" xfId="0" applyBorder="1"/>
    <xf numFmtId="2" fontId="0" fillId="0" borderId="0" xfId="0" applyNumberFormat="1" applyBorder="1"/>
    <xf numFmtId="0" fontId="0" fillId="0" borderId="8" xfId="0" applyFill="1" applyBorder="1"/>
    <xf numFmtId="44" fontId="0" fillId="0" borderId="0" xfId="1" applyFont="1"/>
    <xf numFmtId="44" fontId="0" fillId="0" borderId="0" xfId="1" applyFont="1" applyFill="1" applyBorder="1"/>
    <xf numFmtId="44" fontId="0" fillId="0" borderId="0" xfId="1" applyFont="1" applyBorder="1"/>
    <xf numFmtId="2" fontId="0" fillId="0" borderId="0" xfId="0" applyNumberFormat="1"/>
    <xf numFmtId="9" fontId="0" fillId="0" borderId="0" xfId="2" applyFont="1" applyBorder="1"/>
    <xf numFmtId="9" fontId="4" fillId="0" borderId="0" xfId="2" applyFont="1" applyBorder="1" applyAlignment="1">
      <alignment horizontal="right" vertical="center" wrapText="1"/>
    </xf>
    <xf numFmtId="0" fontId="2" fillId="0" borderId="0" xfId="0" applyFont="1"/>
    <xf numFmtId="0" fontId="0" fillId="0" borderId="0" xfId="0" applyFill="1" applyBorder="1"/>
    <xf numFmtId="0" fontId="5" fillId="0" borderId="0" xfId="0" applyFont="1" applyBorder="1" applyAlignment="1"/>
    <xf numFmtId="44" fontId="5" fillId="0" borderId="0" xfId="0" applyNumberFormat="1" applyFont="1" applyBorder="1" applyAlignment="1"/>
    <xf numFmtId="0" fontId="0" fillId="2" borderId="0" xfId="0" applyFill="1"/>
    <xf numFmtId="9" fontId="0" fillId="0" borderId="0" xfId="2" applyFont="1" applyFill="1" applyBorder="1" applyAlignment="1"/>
    <xf numFmtId="44" fontId="0" fillId="0" borderId="0" xfId="0" applyNumberFormat="1"/>
    <xf numFmtId="0" fontId="8" fillId="0" borderId="3" xfId="0" applyFont="1" applyBorder="1"/>
    <xf numFmtId="0" fontId="8" fillId="0" borderId="22" xfId="0" applyFont="1" applyBorder="1"/>
    <xf numFmtId="0" fontId="8" fillId="0" borderId="16" xfId="0" applyFont="1" applyBorder="1"/>
    <xf numFmtId="44" fontId="8" fillId="0" borderId="0" xfId="1" applyFont="1" applyFill="1" applyBorder="1"/>
    <xf numFmtId="0" fontId="5" fillId="0" borderId="0" xfId="0" applyFont="1"/>
    <xf numFmtId="0" fontId="8" fillId="0" borderId="0" xfId="0" applyFont="1" applyFill="1" applyBorder="1"/>
    <xf numFmtId="0" fontId="8" fillId="0" borderId="0" xfId="0" applyFont="1" applyFill="1" applyBorder="1" applyAlignment="1">
      <alignment horizontal="center"/>
    </xf>
    <xf numFmtId="1" fontId="8" fillId="0" borderId="0" xfId="0" applyNumberFormat="1" applyFont="1" applyFill="1" applyBorder="1"/>
    <xf numFmtId="0" fontId="5" fillId="0" borderId="0" xfId="0" applyFont="1" applyFill="1" applyBorder="1" applyAlignment="1"/>
    <xf numFmtId="0" fontId="7" fillId="0" borderId="0" xfId="0" applyFont="1" applyBorder="1"/>
    <xf numFmtId="0" fontId="8" fillId="0" borderId="0" xfId="0" applyFont="1" applyBorder="1"/>
    <xf numFmtId="164" fontId="8" fillId="0" borderId="0" xfId="0" applyNumberFormat="1" applyFont="1" applyBorder="1"/>
    <xf numFmtId="0" fontId="7" fillId="3" borderId="2" xfId="0" applyFont="1" applyFill="1" applyBorder="1"/>
    <xf numFmtId="0" fontId="8" fillId="3" borderId="3" xfId="0" applyFont="1" applyFill="1" applyBorder="1"/>
    <xf numFmtId="0" fontId="8" fillId="3" borderId="21" xfId="0" applyFont="1" applyFill="1" applyBorder="1"/>
    <xf numFmtId="0" fontId="8" fillId="3" borderId="22" xfId="0" applyFont="1" applyFill="1" applyBorder="1"/>
    <xf numFmtId="0" fontId="8" fillId="3" borderId="0" xfId="0" applyFont="1" applyFill="1" applyBorder="1"/>
    <xf numFmtId="0" fontId="8" fillId="3" borderId="1" xfId="0" applyFont="1" applyFill="1" applyBorder="1"/>
    <xf numFmtId="9" fontId="8" fillId="0" borderId="0" xfId="0" applyNumberFormat="1" applyFont="1" applyFill="1" applyBorder="1"/>
    <xf numFmtId="0" fontId="7" fillId="0" borderId="0" xfId="0" applyFont="1" applyFill="1" applyBorder="1"/>
    <xf numFmtId="0" fontId="7" fillId="3" borderId="22" xfId="0" applyFont="1" applyFill="1" applyBorder="1"/>
    <xf numFmtId="0" fontId="7" fillId="0" borderId="22" xfId="0" applyFont="1" applyBorder="1"/>
    <xf numFmtId="2" fontId="8" fillId="0" borderId="0" xfId="0" applyNumberFormat="1" applyFont="1" applyFill="1" applyBorder="1"/>
    <xf numFmtId="164" fontId="8" fillId="0" borderId="0" xfId="0" applyNumberFormat="1" applyFont="1" applyFill="1" applyBorder="1"/>
    <xf numFmtId="44" fontId="7" fillId="0" borderId="0" xfId="1" applyFont="1" applyBorder="1"/>
    <xf numFmtId="164" fontId="8" fillId="0" borderId="3" xfId="0" applyNumberFormat="1" applyFont="1" applyBorder="1"/>
    <xf numFmtId="165" fontId="0" fillId="0" borderId="0" xfId="2" applyNumberFormat="1" applyFont="1" applyBorder="1"/>
    <xf numFmtId="44" fontId="5" fillId="0" borderId="0" xfId="0" applyNumberFormat="1" applyFont="1"/>
    <xf numFmtId="44" fontId="5" fillId="0" borderId="0" xfId="1" applyFont="1"/>
    <xf numFmtId="9" fontId="0" fillId="0" borderId="0" xfId="2" applyFont="1"/>
    <xf numFmtId="0" fontId="0" fillId="0" borderId="0" xfId="0" applyFont="1" applyBorder="1"/>
    <xf numFmtId="0" fontId="0" fillId="0" borderId="0" xfId="0" applyFont="1" applyFill="1" applyBorder="1"/>
    <xf numFmtId="0" fontId="5" fillId="0" borderId="1" xfId="0" applyFont="1" applyBorder="1"/>
    <xf numFmtId="0" fontId="0" fillId="0" borderId="22" xfId="0" applyFont="1" applyBorder="1"/>
    <xf numFmtId="44" fontId="5" fillId="0" borderId="0" xfId="0" applyNumberFormat="1" applyFont="1" applyBorder="1"/>
    <xf numFmtId="167" fontId="0" fillId="0" borderId="0" xfId="0" applyNumberFormat="1"/>
    <xf numFmtId="0" fontId="0" fillId="4" borderId="0" xfId="0" applyFill="1"/>
    <xf numFmtId="9" fontId="0" fillId="0" borderId="0" xfId="2" applyFont="1" applyBorder="1" applyAlignment="1">
      <alignment horizontal="center"/>
    </xf>
    <xf numFmtId="0" fontId="5" fillId="0" borderId="0" xfId="0" applyFont="1" applyBorder="1"/>
    <xf numFmtId="44" fontId="5" fillId="0" borderId="0" xfId="1" applyFont="1" applyBorder="1"/>
    <xf numFmtId="44" fontId="5" fillId="0" borderId="0" xfId="0" applyNumberFormat="1" applyFont="1" applyFill="1" applyBorder="1"/>
    <xf numFmtId="0" fontId="5" fillId="0" borderId="0" xfId="0" applyFont="1" applyFill="1" applyBorder="1"/>
    <xf numFmtId="164" fontId="5" fillId="0" borderId="0" xfId="0" applyNumberFormat="1" applyFont="1" applyFill="1" applyBorder="1"/>
    <xf numFmtId="44" fontId="0" fillId="0" borderId="6" xfId="1" applyFont="1" applyBorder="1"/>
    <xf numFmtId="9" fontId="5" fillId="0" borderId="16" xfId="2" applyFont="1" applyBorder="1"/>
    <xf numFmtId="0" fontId="7" fillId="0" borderId="22" xfId="0" applyFont="1" applyFill="1" applyBorder="1"/>
    <xf numFmtId="0" fontId="8" fillId="3" borderId="0" xfId="0" applyFont="1" applyFill="1" applyBorder="1" applyAlignment="1">
      <alignment horizontal="center"/>
    </xf>
    <xf numFmtId="0" fontId="8" fillId="3" borderId="23" xfId="0" applyFont="1" applyFill="1" applyBorder="1"/>
    <xf numFmtId="1" fontId="0" fillId="0" borderId="0" xfId="2" applyNumberFormat="1" applyFont="1" applyBorder="1"/>
    <xf numFmtId="0" fontId="5" fillId="5" borderId="0" xfId="0" applyFont="1" applyFill="1" applyBorder="1"/>
    <xf numFmtId="44" fontId="7" fillId="5" borderId="0" xfId="1" applyFont="1" applyFill="1" applyBorder="1"/>
    <xf numFmtId="0" fontId="0" fillId="0" borderId="0" xfId="0" applyFont="1"/>
    <xf numFmtId="44" fontId="0" fillId="0" borderId="0" xfId="1" applyFont="1" applyBorder="1" applyAlignment="1"/>
    <xf numFmtId="2" fontId="8" fillId="0" borderId="0" xfId="0" applyNumberFormat="1" applyFont="1" applyBorder="1" applyAlignment="1">
      <alignment horizontal="center" vertical="center" wrapText="1"/>
    </xf>
    <xf numFmtId="168" fontId="8" fillId="0" borderId="0" xfId="0" applyNumberFormat="1" applyFont="1" applyBorder="1" applyAlignment="1">
      <alignment horizontal="center" vertical="center" wrapText="1"/>
    </xf>
    <xf numFmtId="0" fontId="0" fillId="0" borderId="1" xfId="0" applyFont="1" applyBorder="1"/>
    <xf numFmtId="44" fontId="5" fillId="0" borderId="20" xfId="1" applyFont="1" applyBorder="1"/>
    <xf numFmtId="0" fontId="0" fillId="7" borderId="0" xfId="0" applyFill="1"/>
    <xf numFmtId="0" fontId="0" fillId="7" borderId="8" xfId="0" applyFill="1" applyBorder="1"/>
    <xf numFmtId="0" fontId="0" fillId="0" borderId="0" xfId="0" applyBorder="1" applyAlignment="1">
      <alignment horizontal="center"/>
    </xf>
    <xf numFmtId="44" fontId="0" fillId="0" borderId="0" xfId="1" applyFont="1" applyBorder="1" applyAlignment="1">
      <alignment horizontal="center"/>
    </xf>
    <xf numFmtId="0" fontId="11" fillId="7" borderId="0" xfId="0" applyFont="1" applyFill="1" applyBorder="1" applyAlignment="1">
      <alignment vertical="center" wrapText="1"/>
    </xf>
    <xf numFmtId="0" fontId="2" fillId="7" borderId="0" xfId="0" applyFont="1" applyFill="1" applyBorder="1"/>
    <xf numFmtId="44" fontId="2" fillId="7" borderId="0" xfId="1" applyFont="1" applyFill="1" applyBorder="1"/>
    <xf numFmtId="2" fontId="2" fillId="7" borderId="0" xfId="0" applyNumberFormat="1" applyFont="1" applyFill="1" applyBorder="1"/>
    <xf numFmtId="2" fontId="0" fillId="0" borderId="8" xfId="0" applyNumberFormat="1" applyBorder="1"/>
    <xf numFmtId="44" fontId="7" fillId="0" borderId="0" xfId="1" applyFont="1" applyFill="1" applyBorder="1"/>
    <xf numFmtId="0" fontId="5" fillId="7" borderId="0" xfId="0" applyFont="1" applyFill="1"/>
    <xf numFmtId="0" fontId="5" fillId="0" borderId="22" xfId="0" applyFont="1" applyBorder="1"/>
    <xf numFmtId="0" fontId="8" fillId="0" borderId="20" xfId="0" applyFont="1" applyBorder="1"/>
    <xf numFmtId="9" fontId="0" fillId="0" borderId="16" xfId="2" applyFont="1" applyBorder="1"/>
    <xf numFmtId="0" fontId="7" fillId="5" borderId="2" xfId="0" applyFont="1" applyFill="1" applyBorder="1"/>
    <xf numFmtId="164" fontId="7" fillId="5" borderId="16" xfId="0" applyNumberFormat="1" applyFont="1" applyFill="1" applyBorder="1"/>
    <xf numFmtId="0" fontId="7" fillId="5" borderId="22" xfId="0" applyFont="1" applyFill="1" applyBorder="1"/>
    <xf numFmtId="44" fontId="5" fillId="5" borderId="0" xfId="1" applyFont="1" applyFill="1"/>
    <xf numFmtId="1" fontId="5" fillId="8" borderId="6" xfId="0" applyNumberFormat="1" applyFont="1" applyFill="1" applyBorder="1"/>
    <xf numFmtId="44" fontId="5" fillId="8" borderId="0" xfId="1" applyFont="1" applyFill="1"/>
    <xf numFmtId="0" fontId="5" fillId="8" borderId="0" xfId="0" applyFont="1" applyFill="1" applyBorder="1"/>
    <xf numFmtId="164" fontId="5" fillId="8" borderId="0" xfId="0" applyNumberFormat="1" applyFont="1" applyFill="1" applyBorder="1"/>
    <xf numFmtId="44" fontId="5" fillId="8" borderId="0" xfId="0" applyNumberFormat="1" applyFont="1" applyFill="1"/>
    <xf numFmtId="0" fontId="5" fillId="0" borderId="25" xfId="0" applyFont="1" applyBorder="1"/>
    <xf numFmtId="0" fontId="5" fillId="0" borderId="0" xfId="0" applyFont="1" applyBorder="1" applyAlignment="1">
      <alignment horizontal="center" wrapText="1"/>
    </xf>
    <xf numFmtId="0" fontId="7" fillId="5" borderId="1" xfId="0" applyFont="1" applyFill="1" applyBorder="1"/>
    <xf numFmtId="0" fontId="8" fillId="0" borderId="0" xfId="0" applyFont="1" applyFill="1" applyBorder="1" applyAlignment="1">
      <alignment horizontal="center" wrapText="1"/>
    </xf>
    <xf numFmtId="0" fontId="0" fillId="0" borderId="0" xfId="0" applyFont="1" applyBorder="1" applyAlignment="1">
      <alignment horizontal="center"/>
    </xf>
    <xf numFmtId="8" fontId="7" fillId="5" borderId="0" xfId="1" applyNumberFormat="1" applyFont="1" applyFill="1" applyBorder="1"/>
    <xf numFmtId="0" fontId="7" fillId="9" borderId="2" xfId="0" applyFont="1" applyFill="1" applyBorder="1"/>
    <xf numFmtId="44" fontId="7" fillId="9" borderId="16" xfId="1" applyFont="1" applyFill="1" applyBorder="1"/>
    <xf numFmtId="0" fontId="7" fillId="9" borderId="17" xfId="0" applyFont="1" applyFill="1" applyBorder="1"/>
    <xf numFmtId="0" fontId="7" fillId="9" borderId="9" xfId="0" applyFont="1" applyFill="1" applyBorder="1"/>
    <xf numFmtId="0" fontId="7" fillId="9" borderId="12" xfId="0" applyFont="1" applyFill="1" applyBorder="1"/>
    <xf numFmtId="0" fontId="7" fillId="9" borderId="13" xfId="0" applyFont="1" applyFill="1" applyBorder="1"/>
    <xf numFmtId="44" fontId="7" fillId="9" borderId="13" xfId="0" applyNumberFormat="1" applyFont="1" applyFill="1" applyBorder="1"/>
    <xf numFmtId="0" fontId="7" fillId="9" borderId="14" xfId="0" applyFont="1" applyFill="1" applyBorder="1"/>
    <xf numFmtId="44" fontId="5" fillId="9" borderId="0" xfId="1" applyFont="1" applyFill="1"/>
    <xf numFmtId="0" fontId="5" fillId="9" borderId="12" xfId="0" applyFont="1" applyFill="1" applyBorder="1" applyAlignment="1">
      <alignment horizontal="left"/>
    </xf>
    <xf numFmtId="44" fontId="5" fillId="9" borderId="13" xfId="0" applyNumberFormat="1" applyFont="1" applyFill="1" applyBorder="1"/>
    <xf numFmtId="0" fontId="5" fillId="9" borderId="14" xfId="0" applyFont="1" applyFill="1" applyBorder="1"/>
    <xf numFmtId="0" fontId="5" fillId="9" borderId="12" xfId="0" applyFont="1" applyFill="1" applyBorder="1"/>
    <xf numFmtId="44" fontId="5" fillId="9" borderId="13" xfId="1" applyFont="1" applyFill="1" applyBorder="1"/>
    <xf numFmtId="0" fontId="7" fillId="9" borderId="15" xfId="0" applyFont="1" applyFill="1" applyBorder="1"/>
    <xf numFmtId="8" fontId="7" fillId="0" borderId="0" xfId="1" applyNumberFormat="1" applyFont="1" applyFill="1" applyBorder="1"/>
    <xf numFmtId="0" fontId="7" fillId="0" borderId="1" xfId="0" applyFont="1" applyFill="1" applyBorder="1"/>
    <xf numFmtId="0" fontId="7" fillId="5" borderId="9" xfId="0" applyFont="1" applyFill="1" applyBorder="1"/>
    <xf numFmtId="0" fontId="5" fillId="9" borderId="0" xfId="0" applyFont="1" applyFill="1" applyBorder="1"/>
    <xf numFmtId="0" fontId="5" fillId="0" borderId="0" xfId="0" applyFont="1" applyBorder="1" applyAlignment="1">
      <alignment horizontal="right"/>
    </xf>
    <xf numFmtId="0" fontId="12" fillId="0" borderId="0" xfId="0" applyFont="1" applyBorder="1"/>
    <xf numFmtId="0" fontId="13" fillId="0" borderId="0" xfId="0" applyFont="1" applyBorder="1"/>
    <xf numFmtId="44" fontId="12" fillId="0" borderId="0" xfId="1" applyFont="1" applyBorder="1"/>
    <xf numFmtId="44" fontId="12" fillId="0" borderId="0" xfId="0" applyNumberFormat="1" applyFont="1" applyBorder="1"/>
    <xf numFmtId="0" fontId="12" fillId="0" borderId="0" xfId="0" applyFont="1" applyFill="1" applyBorder="1"/>
    <xf numFmtId="0" fontId="14" fillId="0" borderId="0" xfId="0" applyFont="1" applyBorder="1"/>
    <xf numFmtId="44" fontId="15" fillId="0" borderId="0" xfId="0" applyNumberFormat="1" applyFont="1" applyBorder="1"/>
    <xf numFmtId="0" fontId="12" fillId="5" borderId="0" xfId="0" applyFont="1" applyFill="1" applyBorder="1"/>
    <xf numFmtId="44" fontId="12" fillId="5" borderId="0" xfId="0" applyNumberFormat="1" applyFont="1" applyFill="1" applyBorder="1"/>
    <xf numFmtId="44" fontId="12" fillId="5" borderId="0" xfId="1" applyFont="1" applyFill="1" applyBorder="1"/>
    <xf numFmtId="164" fontId="13" fillId="0" borderId="0" xfId="0" applyNumberFormat="1" applyFont="1" applyBorder="1"/>
    <xf numFmtId="44" fontId="12" fillId="0" borderId="0" xfId="1" applyFont="1" applyFill="1" applyBorder="1"/>
    <xf numFmtId="0" fontId="15" fillId="0" borderId="0" xfId="0" applyFont="1" applyFill="1" applyBorder="1"/>
    <xf numFmtId="0" fontId="15" fillId="0" borderId="0" xfId="0" applyFont="1" applyBorder="1"/>
    <xf numFmtId="0" fontId="15" fillId="5" borderId="0" xfId="0" applyFont="1" applyFill="1" applyBorder="1"/>
    <xf numFmtId="0" fontId="14" fillId="5" borderId="0" xfId="0" applyFont="1" applyFill="1" applyBorder="1"/>
    <xf numFmtId="44" fontId="15" fillId="5" borderId="0" xfId="0" applyNumberFormat="1" applyFont="1" applyFill="1" applyBorder="1"/>
    <xf numFmtId="6" fontId="15" fillId="0" borderId="0" xfId="0" applyNumberFormat="1" applyFont="1" applyBorder="1"/>
    <xf numFmtId="44" fontId="15" fillId="0" borderId="0" xfId="1" applyFont="1" applyBorder="1"/>
    <xf numFmtId="44" fontId="15" fillId="5" borderId="0" xfId="1" applyFont="1" applyFill="1" applyBorder="1"/>
    <xf numFmtId="0" fontId="13" fillId="6" borderId="0" xfId="0" applyFont="1" applyFill="1" applyBorder="1"/>
    <xf numFmtId="0" fontId="14" fillId="7" borderId="0" xfId="0" applyFont="1" applyFill="1"/>
    <xf numFmtId="0" fontId="14" fillId="0" borderId="0" xfId="0" applyFont="1"/>
    <xf numFmtId="0" fontId="12" fillId="0" borderId="2" xfId="0" applyFont="1" applyFill="1" applyBorder="1"/>
    <xf numFmtId="0" fontId="13" fillId="0" borderId="3" xfId="0" applyFont="1" applyFill="1" applyBorder="1"/>
    <xf numFmtId="0" fontId="14" fillId="0" borderId="21" xfId="0" applyFont="1" applyBorder="1"/>
    <xf numFmtId="0" fontId="12" fillId="0" borderId="22" xfId="0" applyFont="1" applyFill="1" applyBorder="1"/>
    <xf numFmtId="0" fontId="13" fillId="0" borderId="0" xfId="0" applyFont="1" applyFill="1" applyBorder="1"/>
    <xf numFmtId="0" fontId="14" fillId="0" borderId="1" xfId="0" applyFont="1" applyBorder="1"/>
    <xf numFmtId="0" fontId="13" fillId="0" borderId="22" xfId="0" applyFont="1" applyFill="1" applyBorder="1"/>
    <xf numFmtId="0" fontId="12" fillId="0" borderId="27" xfId="0" applyFont="1" applyFill="1" applyBorder="1"/>
    <xf numFmtId="0" fontId="12" fillId="0" borderId="9" xfId="0" applyFont="1" applyFill="1" applyBorder="1"/>
    <xf numFmtId="0" fontId="12" fillId="0" borderId="16" xfId="0" applyFont="1" applyFill="1" applyBorder="1"/>
    <xf numFmtId="0" fontId="14" fillId="0" borderId="17" xfId="0" applyFont="1" applyBorder="1"/>
    <xf numFmtId="0" fontId="14" fillId="0" borderId="22" xfId="0" applyFont="1" applyBorder="1"/>
    <xf numFmtId="0" fontId="15" fillId="0" borderId="2" xfId="0" applyFont="1" applyBorder="1"/>
    <xf numFmtId="1" fontId="15" fillId="0" borderId="0" xfId="0" applyNumberFormat="1" applyFont="1" applyBorder="1"/>
    <xf numFmtId="0" fontId="15" fillId="0" borderId="1" xfId="0" applyFont="1" applyBorder="1"/>
    <xf numFmtId="0" fontId="14" fillId="0" borderId="9" xfId="0" applyFont="1" applyBorder="1"/>
    <xf numFmtId="1" fontId="14" fillId="0" borderId="16" xfId="0" applyNumberFormat="1" applyFont="1" applyBorder="1"/>
    <xf numFmtId="0" fontId="14" fillId="0" borderId="16" xfId="0" applyFont="1" applyBorder="1"/>
    <xf numFmtId="0" fontId="14" fillId="0" borderId="3" xfId="0" applyFont="1" applyBorder="1"/>
    <xf numFmtId="44" fontId="14" fillId="0" borderId="0" xfId="0" applyNumberFormat="1" applyFont="1" applyBorder="1"/>
    <xf numFmtId="0" fontId="14" fillId="0" borderId="0" xfId="0" applyFont="1" applyFill="1" applyBorder="1"/>
    <xf numFmtId="0" fontId="5" fillId="0" borderId="24" xfId="0" applyFont="1" applyBorder="1"/>
    <xf numFmtId="0" fontId="7" fillId="0" borderId="24" xfId="0" applyFont="1" applyBorder="1"/>
    <xf numFmtId="0" fontId="14" fillId="0" borderId="0" xfId="0" applyFont="1" applyFill="1" applyBorder="1" applyAlignment="1"/>
    <xf numFmtId="2" fontId="14" fillId="0" borderId="0" xfId="0" applyNumberFormat="1" applyFont="1" applyFill="1" applyBorder="1" applyAlignment="1">
      <alignment horizontal="center"/>
    </xf>
    <xf numFmtId="2" fontId="14" fillId="0" borderId="0" xfId="0" applyNumberFormat="1" applyFont="1" applyFill="1" applyBorder="1" applyAlignment="1">
      <alignment horizontal="center" wrapText="1"/>
    </xf>
    <xf numFmtId="0" fontId="14" fillId="0" borderId="0" xfId="0" applyFont="1" applyFill="1" applyBorder="1" applyAlignment="1">
      <alignment horizontal="right"/>
    </xf>
    <xf numFmtId="9" fontId="14" fillId="0" borderId="0" xfId="2" applyFont="1" applyAlignment="1">
      <alignment horizontal="center"/>
    </xf>
    <xf numFmtId="9" fontId="14" fillId="0" borderId="0" xfId="2" applyFont="1"/>
    <xf numFmtId="9" fontId="14" fillId="0" borderId="0" xfId="2" applyFont="1" applyFill="1" applyBorder="1" applyAlignment="1">
      <alignment horizontal="center"/>
    </xf>
    <xf numFmtId="0" fontId="16" fillId="0" borderId="0" xfId="0" applyFont="1"/>
    <xf numFmtId="0" fontId="14" fillId="0" borderId="0" xfId="0" applyFont="1" applyFill="1" applyBorder="1" applyAlignment="1">
      <alignment horizontal="center"/>
    </xf>
    <xf numFmtId="9" fontId="14" fillId="0" borderId="0" xfId="0" applyNumberFormat="1" applyFont="1" applyFill="1" applyBorder="1"/>
    <xf numFmtId="44" fontId="15" fillId="0" borderId="0" xfId="1" applyFont="1" applyFill="1" applyBorder="1"/>
    <xf numFmtId="166" fontId="5" fillId="0" borderId="0" xfId="0" applyNumberFormat="1" applyFont="1" applyBorder="1"/>
    <xf numFmtId="44" fontId="5" fillId="9" borderId="14" xfId="1" applyFont="1" applyFill="1" applyBorder="1" applyAlignment="1">
      <alignment vertical="top"/>
    </xf>
    <xf numFmtId="44" fontId="15" fillId="9" borderId="15" xfId="1" applyFont="1" applyFill="1" applyBorder="1" applyAlignment="1">
      <alignment horizontal="center"/>
    </xf>
    <xf numFmtId="44" fontId="14" fillId="8" borderId="15" xfId="1" applyFont="1" applyFill="1" applyBorder="1" applyAlignment="1">
      <alignment horizontal="center"/>
    </xf>
    <xf numFmtId="44" fontId="14" fillId="8" borderId="15" xfId="0" applyNumberFormat="1" applyFont="1" applyFill="1" applyBorder="1"/>
    <xf numFmtId="0" fontId="15" fillId="0" borderId="0" xfId="0" applyFont="1" applyFill="1" applyBorder="1" applyAlignment="1">
      <alignment horizontal="right"/>
    </xf>
    <xf numFmtId="44" fontId="15" fillId="9" borderId="15" xfId="0" applyNumberFormat="1" applyFont="1" applyFill="1" applyBorder="1"/>
    <xf numFmtId="0" fontId="15" fillId="9" borderId="0" xfId="0" applyFont="1" applyFill="1"/>
    <xf numFmtId="0" fontId="13" fillId="0" borderId="0" xfId="0" applyFont="1"/>
    <xf numFmtId="0" fontId="15" fillId="0" borderId="34" xfId="0" applyFont="1" applyBorder="1"/>
    <xf numFmtId="44" fontId="15" fillId="0" borderId="34" xfId="1" applyFont="1" applyBorder="1"/>
    <xf numFmtId="0" fontId="13" fillId="8" borderId="0" xfId="0" applyFont="1" applyFill="1"/>
    <xf numFmtId="0" fontId="14" fillId="8" borderId="0" xfId="0" applyFont="1" applyFill="1"/>
    <xf numFmtId="0" fontId="12" fillId="0" borderId="26" xfId="0" applyFont="1" applyFill="1" applyBorder="1" applyAlignment="1">
      <alignment horizontal="center"/>
    </xf>
    <xf numFmtId="0" fontId="12" fillId="0" borderId="16" xfId="0" applyFont="1" applyFill="1" applyBorder="1" applyAlignment="1">
      <alignment horizontal="center"/>
    </xf>
    <xf numFmtId="1" fontId="12" fillId="0" borderId="26" xfId="0" applyNumberFormat="1" applyFont="1" applyFill="1" applyBorder="1" applyAlignment="1">
      <alignment horizontal="center"/>
    </xf>
    <xf numFmtId="0" fontId="14" fillId="0" borderId="1" xfId="0" applyFont="1" applyBorder="1" applyAlignment="1">
      <alignment horizontal="center"/>
    </xf>
    <xf numFmtId="0" fontId="15" fillId="0" borderId="28" xfId="0" applyFont="1" applyBorder="1" applyAlignment="1">
      <alignment horizontal="center"/>
    </xf>
    <xf numFmtId="0" fontId="14" fillId="0" borderId="3" xfId="0" applyFont="1" applyFill="1" applyBorder="1"/>
    <xf numFmtId="0" fontId="14" fillId="0" borderId="21" xfId="0" applyFont="1" applyFill="1" applyBorder="1"/>
    <xf numFmtId="0" fontId="12" fillId="0" borderId="21" xfId="0" applyFont="1" applyBorder="1" applyAlignment="1">
      <alignment horizontal="center" vertical="center"/>
    </xf>
    <xf numFmtId="0" fontId="0" fillId="0" borderId="0" xfId="0" applyFont="1" applyBorder="1" applyAlignment="1">
      <alignment horizontal="center" wrapText="1"/>
    </xf>
    <xf numFmtId="0" fontId="0" fillId="0" borderId="16" xfId="0" applyFont="1" applyBorder="1"/>
    <xf numFmtId="0" fontId="0" fillId="0" borderId="3" xfId="0" applyFont="1" applyBorder="1"/>
    <xf numFmtId="0" fontId="0" fillId="0" borderId="0" xfId="0" applyNumberFormat="1" applyFont="1" applyBorder="1"/>
    <xf numFmtId="2" fontId="0" fillId="0" borderId="0" xfId="0" applyNumberFormat="1" applyFont="1" applyBorder="1"/>
    <xf numFmtId="0" fontId="0" fillId="0" borderId="6" xfId="0" applyFont="1" applyBorder="1"/>
    <xf numFmtId="166" fontId="0" fillId="0" borderId="0" xfId="0" applyNumberFormat="1" applyFont="1" applyBorder="1"/>
    <xf numFmtId="0" fontId="0" fillId="0" borderId="23" xfId="0" applyFont="1" applyBorder="1"/>
    <xf numFmtId="0" fontId="0" fillId="0" borderId="20" xfId="0" applyFont="1" applyBorder="1"/>
    <xf numFmtId="0" fontId="0" fillId="0" borderId="9" xfId="0" applyFont="1" applyBorder="1"/>
    <xf numFmtId="0" fontId="0" fillId="0" borderId="16" xfId="0" applyFont="1" applyBorder="1" applyAlignment="1">
      <alignment horizontal="right"/>
    </xf>
    <xf numFmtId="0" fontId="0" fillId="0" borderId="22" xfId="0" applyFont="1" applyBorder="1" applyAlignment="1">
      <alignment vertical="center" wrapText="1"/>
    </xf>
    <xf numFmtId="1" fontId="0" fillId="0" borderId="0" xfId="0" applyNumberFormat="1" applyFont="1" applyBorder="1"/>
    <xf numFmtId="0" fontId="0" fillId="0" borderId="22" xfId="0" applyFont="1" applyBorder="1" applyAlignment="1"/>
    <xf numFmtId="0" fontId="0" fillId="0" borderId="0" xfId="0" applyFont="1" applyBorder="1" applyAlignment="1"/>
    <xf numFmtId="0" fontId="0" fillId="0" borderId="1" xfId="0" applyFont="1" applyBorder="1" applyAlignment="1"/>
    <xf numFmtId="0" fontId="0" fillId="0" borderId="0" xfId="0" applyFont="1" applyBorder="1" applyAlignment="1">
      <alignment vertical="center"/>
    </xf>
    <xf numFmtId="1" fontId="0" fillId="0" borderId="16" xfId="0" applyNumberFormat="1" applyFont="1" applyBorder="1"/>
    <xf numFmtId="0" fontId="0" fillId="0" borderId="0" xfId="0" applyFont="1" applyBorder="1" applyAlignment="1">
      <alignment horizontal="center" vertical="center"/>
    </xf>
    <xf numFmtId="0" fontId="0" fillId="0" borderId="21" xfId="0" applyFont="1" applyBorder="1"/>
    <xf numFmtId="0" fontId="0" fillId="0" borderId="0" xfId="0" applyFont="1" applyBorder="1" applyAlignment="1">
      <alignment wrapText="1"/>
    </xf>
    <xf numFmtId="44" fontId="0" fillId="0" borderId="0" xfId="0" applyNumberFormat="1" applyFont="1" applyBorder="1" applyAlignment="1">
      <alignment horizontal="center"/>
    </xf>
    <xf numFmtId="9" fontId="0" fillId="0" borderId="0" xfId="0" applyNumberFormat="1" applyFont="1" applyBorder="1" applyAlignment="1">
      <alignment horizontal="center"/>
    </xf>
    <xf numFmtId="9" fontId="0" fillId="0" borderId="20" xfId="0" applyNumberFormat="1" applyFont="1" applyBorder="1"/>
    <xf numFmtId="0" fontId="0" fillId="0" borderId="0" xfId="0" applyFont="1" applyFill="1" applyBorder="1" applyAlignment="1">
      <alignment horizontal="center"/>
    </xf>
    <xf numFmtId="0" fontId="0" fillId="0" borderId="20" xfId="0" applyFont="1" applyBorder="1" applyAlignment="1">
      <alignment horizontal="center"/>
    </xf>
    <xf numFmtId="9" fontId="0" fillId="0" borderId="0" xfId="0" applyNumberFormat="1" applyFont="1" applyBorder="1"/>
    <xf numFmtId="0" fontId="0" fillId="0" borderId="0" xfId="0" applyFont="1" applyFill="1"/>
    <xf numFmtId="9" fontId="0" fillId="0" borderId="0" xfId="0" applyNumberFormat="1" applyFont="1" applyFill="1" applyBorder="1"/>
    <xf numFmtId="0" fontId="0" fillId="0" borderId="22" xfId="0" applyFont="1" applyFill="1" applyBorder="1"/>
    <xf numFmtId="0" fontId="0" fillId="0" borderId="4" xfId="0" applyFont="1" applyBorder="1"/>
    <xf numFmtId="0" fontId="0" fillId="0" borderId="0" xfId="0" applyFont="1" applyAlignment="1">
      <alignment horizontal="right"/>
    </xf>
    <xf numFmtId="9" fontId="0" fillId="0" borderId="0" xfId="0" applyNumberFormat="1" applyFont="1" applyBorder="1" applyAlignment="1"/>
    <xf numFmtId="0" fontId="0" fillId="9" borderId="13" xfId="0" applyFont="1" applyFill="1" applyBorder="1"/>
    <xf numFmtId="44" fontId="0" fillId="0" borderId="0" xfId="0" applyNumberFormat="1" applyFont="1"/>
    <xf numFmtId="1" fontId="0" fillId="0" borderId="0" xfId="0" applyNumberFormat="1" applyFont="1" applyFill="1" applyBorder="1" applyAlignment="1">
      <alignment horizontal="center"/>
    </xf>
    <xf numFmtId="9" fontId="0" fillId="0" borderId="0" xfId="0" applyNumberFormat="1" applyFont="1" applyFill="1" applyBorder="1" applyAlignment="1">
      <alignment horizontal="center"/>
    </xf>
    <xf numFmtId="0" fontId="0" fillId="0" borderId="0" xfId="0" applyFont="1" applyFill="1" applyBorder="1" applyAlignment="1">
      <alignment horizontal="right"/>
    </xf>
    <xf numFmtId="164" fontId="7" fillId="0" borderId="0" xfId="0" applyNumberFormat="1" applyFont="1" applyBorder="1" applyAlignment="1">
      <alignment vertical="center"/>
    </xf>
    <xf numFmtId="0" fontId="8" fillId="2" borderId="22" xfId="0" applyFont="1" applyFill="1" applyBorder="1" applyAlignment="1">
      <alignment horizontal="center"/>
    </xf>
    <xf numFmtId="1" fontId="8" fillId="3" borderId="1" xfId="0" applyNumberFormat="1" applyFont="1" applyFill="1" applyBorder="1" applyAlignment="1">
      <alignment horizontal="center"/>
    </xf>
    <xf numFmtId="0" fontId="8" fillId="3" borderId="6" xfId="0" applyFont="1" applyFill="1" applyBorder="1" applyAlignment="1">
      <alignment horizontal="center"/>
    </xf>
    <xf numFmtId="1" fontId="8" fillId="3" borderId="4" xfId="0" applyNumberFormat="1" applyFont="1" applyFill="1" applyBorder="1" applyAlignment="1">
      <alignment horizontal="center"/>
    </xf>
    <xf numFmtId="0" fontId="7" fillId="3" borderId="0" xfId="0" applyFont="1" applyFill="1" applyBorder="1" applyAlignment="1">
      <alignment horizontal="center"/>
    </xf>
    <xf numFmtId="1" fontId="7" fillId="3" borderId="1" xfId="0" applyNumberFormat="1" applyFont="1" applyFill="1" applyBorder="1" applyAlignment="1">
      <alignment horizontal="center"/>
    </xf>
    <xf numFmtId="0" fontId="7" fillId="3" borderId="9" xfId="0" applyFont="1" applyFill="1" applyBorder="1"/>
    <xf numFmtId="0" fontId="7" fillId="3" borderId="16" xfId="0" applyFont="1" applyFill="1" applyBorder="1"/>
    <xf numFmtId="0" fontId="7" fillId="3" borderId="17" xfId="0" applyFont="1" applyFill="1" applyBorder="1"/>
    <xf numFmtId="0" fontId="7" fillId="3" borderId="16" xfId="0" applyFont="1" applyFill="1" applyBorder="1" applyAlignment="1">
      <alignment horizontal="center"/>
    </xf>
    <xf numFmtId="9" fontId="7" fillId="0" borderId="0" xfId="0" applyNumberFormat="1" applyFont="1" applyFill="1" applyBorder="1" applyAlignment="1">
      <alignment horizontal="left"/>
    </xf>
    <xf numFmtId="0" fontId="7" fillId="0" borderId="0" xfId="0" applyFont="1" applyBorder="1" applyAlignment="1">
      <alignment horizontal="right"/>
    </xf>
    <xf numFmtId="2" fontId="7" fillId="0" borderId="0" xfId="0" applyNumberFormat="1" applyFont="1" applyFill="1" applyBorder="1" applyAlignment="1">
      <alignment horizontal="center"/>
    </xf>
    <xf numFmtId="9" fontId="8" fillId="0" borderId="0" xfId="2" applyFont="1" applyFill="1" applyBorder="1" applyAlignment="1">
      <alignment horizontal="center"/>
    </xf>
    <xf numFmtId="166" fontId="0" fillId="0" borderId="0" xfId="0" applyNumberFormat="1" applyFont="1" applyBorder="1" applyAlignment="1">
      <alignment horizontal="center"/>
    </xf>
    <xf numFmtId="1" fontId="0" fillId="0" borderId="0" xfId="1" applyNumberFormat="1" applyFont="1" applyBorder="1" applyAlignment="1">
      <alignment horizontal="center"/>
    </xf>
    <xf numFmtId="2" fontId="0" fillId="0" borderId="0" xfId="1" applyNumberFormat="1" applyFont="1" applyBorder="1" applyAlignment="1">
      <alignment horizontal="center"/>
    </xf>
    <xf numFmtId="164" fontId="5" fillId="5" borderId="20" xfId="1" applyNumberFormat="1" applyFont="1" applyFill="1" applyBorder="1"/>
    <xf numFmtId="164" fontId="5" fillId="5" borderId="16" xfId="1" applyNumberFormat="1" applyFont="1" applyFill="1" applyBorder="1"/>
    <xf numFmtId="164" fontId="5" fillId="5" borderId="0" xfId="1" applyNumberFormat="1" applyFont="1" applyFill="1" applyBorder="1"/>
    <xf numFmtId="164" fontId="7" fillId="9" borderId="13" xfId="1" applyNumberFormat="1" applyFont="1" applyFill="1" applyBorder="1"/>
    <xf numFmtId="0" fontId="0" fillId="0" borderId="16" xfId="0" applyFont="1" applyBorder="1" applyAlignment="1">
      <alignment horizontal="center"/>
    </xf>
    <xf numFmtId="1" fontId="5" fillId="0" borderId="26" xfId="0" applyNumberFormat="1" applyFont="1" applyBorder="1"/>
    <xf numFmtId="0" fontId="5" fillId="0" borderId="35" xfId="0" applyFont="1" applyFill="1" applyBorder="1"/>
    <xf numFmtId="0" fontId="5" fillId="0" borderId="34" xfId="0" applyFont="1" applyBorder="1"/>
    <xf numFmtId="1" fontId="5" fillId="0" borderId="34" xfId="0" applyNumberFormat="1" applyFont="1" applyBorder="1"/>
    <xf numFmtId="166" fontId="5" fillId="0" borderId="34" xfId="0" applyNumberFormat="1" applyFont="1" applyBorder="1"/>
    <xf numFmtId="0" fontId="5" fillId="0" borderId="34" xfId="0" applyFont="1" applyFill="1" applyBorder="1"/>
    <xf numFmtId="44" fontId="0" fillId="0" borderId="0" xfId="0" applyNumberFormat="1" applyFont="1" applyBorder="1" applyAlignment="1">
      <alignment horizontal="center" vertical="center"/>
    </xf>
    <xf numFmtId="0" fontId="0" fillId="0" borderId="20" xfId="0" applyFont="1" applyBorder="1" applyAlignment="1">
      <alignment vertical="center"/>
    </xf>
    <xf numFmtId="44" fontId="5" fillId="0" borderId="20" xfId="0" applyNumberFormat="1" applyFont="1" applyBorder="1" applyAlignment="1">
      <alignment vertical="center"/>
    </xf>
    <xf numFmtId="44" fontId="5" fillId="0" borderId="20" xfId="0" applyNumberFormat="1" applyFont="1" applyBorder="1" applyAlignment="1">
      <alignment horizontal="center"/>
    </xf>
    <xf numFmtId="0" fontId="0" fillId="0" borderId="0" xfId="0" applyFont="1" applyFill="1" applyBorder="1" applyAlignment="1">
      <alignment horizontal="center" vertical="center" wrapText="1"/>
    </xf>
    <xf numFmtId="0" fontId="15" fillId="11" borderId="0" xfId="0" applyFont="1" applyFill="1" applyBorder="1"/>
    <xf numFmtId="0" fontId="12" fillId="11" borderId="0" xfId="0" applyFont="1" applyFill="1" applyBorder="1"/>
    <xf numFmtId="164" fontId="12" fillId="11" borderId="0" xfId="0" applyNumberFormat="1" applyFont="1" applyFill="1" applyBorder="1"/>
    <xf numFmtId="0" fontId="13" fillId="11" borderId="0" xfId="0" applyFont="1" applyFill="1" applyBorder="1"/>
    <xf numFmtId="164" fontId="13" fillId="11" borderId="0" xfId="0" applyNumberFormat="1" applyFont="1" applyFill="1" applyBorder="1"/>
    <xf numFmtId="0" fontId="15" fillId="11" borderId="0" xfId="0" applyFont="1" applyFill="1"/>
    <xf numFmtId="44" fontId="12" fillId="11" borderId="0" xfId="0" applyNumberFormat="1" applyFont="1" applyFill="1" applyBorder="1"/>
    <xf numFmtId="0" fontId="14" fillId="11" borderId="0" xfId="0" applyFont="1" applyFill="1" applyBorder="1"/>
    <xf numFmtId="0" fontId="5" fillId="11" borderId="0" xfId="0" applyFont="1" applyFill="1"/>
    <xf numFmtId="0" fontId="5" fillId="11" borderId="0" xfId="0" applyFont="1" applyFill="1" applyBorder="1"/>
    <xf numFmtId="164" fontId="7" fillId="11" borderId="0" xfId="0" applyNumberFormat="1" applyFont="1" applyFill="1" applyBorder="1"/>
    <xf numFmtId="0" fontId="0" fillId="11" borderId="0" xfId="0" applyFont="1" applyFill="1" applyBorder="1"/>
    <xf numFmtId="0" fontId="5" fillId="11" borderId="2" xfId="0" applyFont="1" applyFill="1" applyBorder="1"/>
    <xf numFmtId="0" fontId="5" fillId="11" borderId="3" xfId="0" applyFont="1" applyFill="1" applyBorder="1"/>
    <xf numFmtId="0" fontId="5" fillId="11" borderId="21" xfId="0" applyFont="1" applyFill="1" applyBorder="1"/>
    <xf numFmtId="44" fontId="5" fillId="11" borderId="0" xfId="1" applyFont="1" applyFill="1" applyBorder="1"/>
    <xf numFmtId="0" fontId="5" fillId="11" borderId="1" xfId="0" applyFont="1" applyFill="1" applyBorder="1"/>
    <xf numFmtId="0" fontId="0" fillId="11" borderId="16" xfId="0" applyFont="1" applyFill="1" applyBorder="1"/>
    <xf numFmtId="44" fontId="5" fillId="11" borderId="16" xfId="1" applyFont="1" applyFill="1" applyBorder="1"/>
    <xf numFmtId="0" fontId="5" fillId="11" borderId="17" xfId="0" applyFont="1" applyFill="1" applyBorder="1"/>
    <xf numFmtId="0" fontId="0" fillId="11" borderId="0" xfId="0" applyFill="1"/>
    <xf numFmtId="44" fontId="5" fillId="11" borderId="0" xfId="0" applyNumberFormat="1" applyFont="1" applyFill="1"/>
    <xf numFmtId="0" fontId="0" fillId="4" borderId="3" xfId="0" applyFill="1" applyBorder="1"/>
    <xf numFmtId="0" fontId="0" fillId="4" borderId="21" xfId="0" applyFill="1" applyBorder="1"/>
    <xf numFmtId="0" fontId="0" fillId="4" borderId="22" xfId="0" applyFill="1" applyBorder="1"/>
    <xf numFmtId="0" fontId="0" fillId="4" borderId="0" xfId="0" applyFill="1" applyBorder="1"/>
    <xf numFmtId="0" fontId="0" fillId="4" borderId="1" xfId="0" applyFill="1" applyBorder="1"/>
    <xf numFmtId="0" fontId="5" fillId="4" borderId="22" xfId="0" applyFont="1" applyFill="1" applyBorder="1"/>
    <xf numFmtId="0" fontId="5" fillId="4" borderId="9" xfId="0" applyFont="1" applyFill="1" applyBorder="1"/>
    <xf numFmtId="0" fontId="0" fillId="4" borderId="16" xfId="0" applyFill="1" applyBorder="1"/>
    <xf numFmtId="0" fontId="0" fillId="4" borderId="17" xfId="0" applyFill="1" applyBorder="1"/>
    <xf numFmtId="0" fontId="5" fillId="4" borderId="2" xfId="0" applyFont="1" applyFill="1" applyBorder="1"/>
    <xf numFmtId="44" fontId="5" fillId="9" borderId="14" xfId="0" applyNumberFormat="1" applyFont="1" applyFill="1" applyBorder="1" applyAlignment="1">
      <alignment horizontal="center" vertical="center"/>
    </xf>
    <xf numFmtId="0" fontId="5" fillId="12" borderId="0" xfId="0" applyFont="1" applyFill="1" applyBorder="1"/>
    <xf numFmtId="0" fontId="0" fillId="12" borderId="0" xfId="0" applyFill="1" applyBorder="1"/>
    <xf numFmtId="0" fontId="18" fillId="0" borderId="0" xfId="0" applyFont="1" applyFill="1" applyBorder="1"/>
    <xf numFmtId="0" fontId="18" fillId="0" borderId="0" xfId="0" applyFont="1"/>
    <xf numFmtId="9" fontId="18" fillId="0" borderId="0" xfId="2" applyFont="1"/>
    <xf numFmtId="44" fontId="7" fillId="5" borderId="0" xfId="0" applyNumberFormat="1" applyFont="1" applyFill="1" applyBorder="1"/>
    <xf numFmtId="0" fontId="19" fillId="7" borderId="0" xfId="0" applyFont="1" applyFill="1"/>
    <xf numFmtId="0" fontId="12" fillId="7" borderId="0" xfId="0" applyFont="1" applyFill="1"/>
    <xf numFmtId="0" fontId="13" fillId="7" borderId="0" xfId="0" applyFont="1" applyFill="1"/>
    <xf numFmtId="44" fontId="12" fillId="7" borderId="0" xfId="1" applyFont="1" applyFill="1" applyBorder="1"/>
    <xf numFmtId="44" fontId="16" fillId="7" borderId="0" xfId="0" applyNumberFormat="1" applyFont="1" applyFill="1"/>
    <xf numFmtId="0" fontId="16" fillId="7" borderId="0" xfId="0" applyFont="1" applyFill="1"/>
    <xf numFmtId="44" fontId="19" fillId="7" borderId="0" xfId="1" applyFont="1" applyFill="1" applyBorder="1"/>
    <xf numFmtId="44" fontId="12" fillId="7" borderId="0" xfId="0" applyNumberFormat="1" applyFont="1" applyFill="1"/>
    <xf numFmtId="44" fontId="13" fillId="7" borderId="0" xfId="1" applyFont="1" applyFill="1" applyBorder="1"/>
    <xf numFmtId="44" fontId="15" fillId="7" borderId="0" xfId="0" applyNumberFormat="1" applyFont="1" applyFill="1"/>
    <xf numFmtId="164" fontId="13" fillId="7" borderId="0" xfId="0" applyNumberFormat="1" applyFont="1" applyFill="1"/>
    <xf numFmtId="0" fontId="15" fillId="7" borderId="0" xfId="0" applyFont="1" applyFill="1"/>
    <xf numFmtId="8" fontId="15" fillId="7" borderId="0" xfId="0" applyNumberFormat="1" applyFont="1" applyFill="1"/>
    <xf numFmtId="44" fontId="19" fillId="7" borderId="0" xfId="0" applyNumberFormat="1" applyFont="1" applyFill="1"/>
    <xf numFmtId="0" fontId="20" fillId="7" borderId="0" xfId="0" applyFont="1" applyFill="1" applyAlignment="1">
      <alignment horizontal="left"/>
    </xf>
    <xf numFmtId="6" fontId="15" fillId="7" borderId="0" xfId="0" applyNumberFormat="1" applyFont="1" applyFill="1"/>
    <xf numFmtId="44" fontId="15" fillId="7" borderId="0" xfId="1" applyFont="1" applyFill="1" applyBorder="1"/>
    <xf numFmtId="44" fontId="13" fillId="7" borderId="0" xfId="0" applyNumberFormat="1" applyFont="1" applyFill="1"/>
    <xf numFmtId="164" fontId="12" fillId="7" borderId="0" xfId="0" applyNumberFormat="1" applyFont="1" applyFill="1"/>
    <xf numFmtId="44" fontId="14" fillId="0" borderId="0" xfId="0" applyNumberFormat="1" applyFont="1"/>
    <xf numFmtId="44" fontId="14" fillId="0" borderId="0" xfId="1" applyFont="1"/>
    <xf numFmtId="0" fontId="6" fillId="2" borderId="0" xfId="0" applyFont="1" applyFill="1" applyProtection="1">
      <protection locked="0"/>
    </xf>
    <xf numFmtId="0" fontId="2" fillId="7" borderId="0" xfId="0" applyFont="1" applyFill="1" applyBorder="1" applyProtection="1">
      <protection locked="0"/>
    </xf>
    <xf numFmtId="0" fontId="6" fillId="2" borderId="10" xfId="0" applyFont="1" applyFill="1" applyBorder="1" applyProtection="1">
      <protection locked="0"/>
    </xf>
    <xf numFmtId="0" fontId="0" fillId="2" borderId="0" xfId="0" applyFill="1" applyProtection="1">
      <protection locked="0"/>
    </xf>
    <xf numFmtId="0" fontId="0" fillId="2" borderId="0" xfId="0" applyFill="1" applyBorder="1" applyProtection="1">
      <protection locked="0"/>
    </xf>
    <xf numFmtId="9" fontId="14" fillId="2" borderId="0" xfId="2" applyFont="1" applyFill="1" applyAlignment="1" applyProtection="1">
      <alignment horizontal="center"/>
      <protection locked="0"/>
    </xf>
    <xf numFmtId="0" fontId="17" fillId="2" borderId="0" xfId="0" applyFont="1" applyFill="1" applyBorder="1" applyProtection="1">
      <protection locked="0"/>
    </xf>
    <xf numFmtId="0" fontId="13" fillId="6" borderId="0" xfId="0" applyFont="1" applyFill="1" applyBorder="1" applyAlignment="1" applyProtection="1">
      <alignment horizontal="center"/>
      <protection locked="0"/>
    </xf>
    <xf numFmtId="1" fontId="13" fillId="6" borderId="0" xfId="0" applyNumberFormat="1" applyFont="1" applyFill="1" applyBorder="1" applyAlignment="1" applyProtection="1">
      <alignment horizontal="center" vertical="center" wrapText="1"/>
      <protection locked="0"/>
    </xf>
    <xf numFmtId="0" fontId="13" fillId="6" borderId="0" xfId="0" applyFont="1" applyFill="1" applyBorder="1" applyProtection="1">
      <protection locked="0"/>
    </xf>
    <xf numFmtId="0" fontId="13" fillId="6" borderId="16" xfId="0" applyFont="1" applyFill="1" applyBorder="1" applyProtection="1">
      <protection locked="0"/>
    </xf>
    <xf numFmtId="0" fontId="17" fillId="2" borderId="16" xfId="0" applyFont="1" applyFill="1" applyBorder="1" applyProtection="1">
      <protection locked="0"/>
    </xf>
    <xf numFmtId="0" fontId="17" fillId="2" borderId="17" xfId="0" applyFont="1" applyFill="1" applyBorder="1" applyAlignment="1" applyProtection="1">
      <alignment horizontal="center"/>
      <protection locked="0"/>
    </xf>
    <xf numFmtId="0" fontId="6" fillId="2" borderId="22" xfId="0" applyFont="1" applyFill="1" applyBorder="1" applyAlignment="1" applyProtection="1">
      <alignment horizontal="center"/>
      <protection locked="0"/>
    </xf>
    <xf numFmtId="44" fontId="0" fillId="2" borderId="0" xfId="1" applyFont="1" applyFill="1" applyBorder="1" applyProtection="1">
      <protection locked="0"/>
    </xf>
    <xf numFmtId="9" fontId="0" fillId="2" borderId="0" xfId="2" applyFont="1" applyFill="1" applyBorder="1" applyAlignment="1" applyProtection="1">
      <alignment horizontal="center"/>
      <protection locked="0"/>
    </xf>
    <xf numFmtId="44" fontId="0" fillId="2" borderId="0" xfId="1" applyFont="1" applyFill="1" applyBorder="1" applyAlignment="1" applyProtection="1">
      <protection locked="0"/>
    </xf>
    <xf numFmtId="0" fontId="13" fillId="2" borderId="0" xfId="0" applyFont="1" applyFill="1" applyBorder="1" applyAlignment="1">
      <alignment horizontal="left"/>
    </xf>
    <xf numFmtId="2" fontId="8" fillId="0" borderId="16" xfId="1" applyNumberFormat="1" applyFont="1" applyBorder="1" applyAlignment="1">
      <alignment horizontal="center"/>
    </xf>
    <xf numFmtId="0" fontId="5" fillId="11" borderId="22" xfId="0" applyFont="1" applyFill="1" applyBorder="1"/>
    <xf numFmtId="0" fontId="5" fillId="11" borderId="9" xfId="0" applyFont="1" applyFill="1" applyBorder="1"/>
    <xf numFmtId="0" fontId="7" fillId="9" borderId="22" xfId="0" applyFont="1" applyFill="1" applyBorder="1"/>
    <xf numFmtId="6" fontId="5" fillId="9" borderId="0" xfId="0" applyNumberFormat="1" applyFont="1" applyFill="1" applyBorder="1"/>
    <xf numFmtId="0" fontId="5" fillId="9" borderId="1" xfId="0" applyFont="1" applyFill="1" applyBorder="1"/>
    <xf numFmtId="6" fontId="5" fillId="0" borderId="0" xfId="0" applyNumberFormat="1" applyFont="1" applyBorder="1"/>
    <xf numFmtId="164" fontId="5" fillId="9" borderId="0" xfId="1" applyNumberFormat="1" applyFont="1" applyFill="1" applyBorder="1"/>
    <xf numFmtId="0" fontId="5" fillId="0" borderId="16" xfId="0" applyFont="1" applyBorder="1"/>
    <xf numFmtId="44" fontId="5" fillId="9" borderId="16" xfId="1" applyFont="1" applyFill="1" applyBorder="1"/>
    <xf numFmtId="0" fontId="5" fillId="9" borderId="17" xfId="0" applyFont="1" applyFill="1" applyBorder="1"/>
    <xf numFmtId="0" fontId="7" fillId="0" borderId="3" xfId="0" applyFont="1" applyFill="1" applyBorder="1"/>
    <xf numFmtId="0" fontId="4" fillId="7" borderId="0" xfId="0" applyFont="1" applyFill="1" applyBorder="1" applyAlignment="1">
      <alignment vertical="center" wrapText="1"/>
    </xf>
    <xf numFmtId="0" fontId="6" fillId="7" borderId="0" xfId="0" applyFont="1" applyFill="1" applyBorder="1" applyProtection="1">
      <protection locked="0"/>
    </xf>
    <xf numFmtId="0" fontId="0" fillId="7" borderId="0" xfId="0" applyFill="1" applyBorder="1" applyProtection="1">
      <protection locked="0"/>
    </xf>
    <xf numFmtId="0" fontId="0" fillId="7" borderId="0" xfId="0" applyFill="1" applyBorder="1"/>
    <xf numFmtId="2" fontId="0" fillId="7" borderId="0" xfId="0" applyNumberFormat="1" applyFill="1" applyBorder="1"/>
    <xf numFmtId="0" fontId="0" fillId="7" borderId="0" xfId="0" applyFill="1" applyProtection="1">
      <protection locked="0"/>
    </xf>
    <xf numFmtId="44" fontId="0" fillId="7" borderId="0" xfId="1" applyFont="1" applyFill="1" applyProtection="1">
      <protection locked="0"/>
    </xf>
    <xf numFmtId="169" fontId="0" fillId="2" borderId="8" xfId="0" applyNumberFormat="1" applyFill="1" applyBorder="1" applyProtection="1">
      <protection locked="0"/>
    </xf>
    <xf numFmtId="44" fontId="0" fillId="2" borderId="29" xfId="1" applyFont="1" applyFill="1" applyBorder="1" applyProtection="1">
      <protection locked="0"/>
    </xf>
    <xf numFmtId="44" fontId="0" fillId="2" borderId="30" xfId="1" applyFont="1" applyFill="1" applyBorder="1" applyProtection="1">
      <protection locked="0"/>
    </xf>
    <xf numFmtId="44" fontId="2" fillId="7" borderId="0" xfId="1" applyFont="1" applyFill="1" applyBorder="1" applyProtection="1">
      <protection locked="0"/>
    </xf>
    <xf numFmtId="44" fontId="0" fillId="7" borderId="0" xfId="1" applyFont="1" applyFill="1" applyBorder="1" applyProtection="1">
      <protection locked="0"/>
    </xf>
    <xf numFmtId="164" fontId="0" fillId="2" borderId="30" xfId="1" applyNumberFormat="1" applyFont="1" applyFill="1" applyBorder="1" applyProtection="1">
      <protection locked="0"/>
    </xf>
    <xf numFmtId="44" fontId="0" fillId="2" borderId="8" xfId="1" applyFont="1" applyFill="1" applyBorder="1" applyProtection="1">
      <protection locked="0"/>
    </xf>
    <xf numFmtId="44" fontId="0" fillId="7" borderId="8" xfId="1" applyFont="1" applyFill="1" applyBorder="1" applyProtection="1">
      <protection locked="0"/>
    </xf>
    <xf numFmtId="0" fontId="14" fillId="0" borderId="0" xfId="0" applyFont="1" applyFill="1" applyAlignment="1">
      <alignment horizontal="center" wrapText="1"/>
    </xf>
    <xf numFmtId="44" fontId="0" fillId="3" borderId="29" xfId="1" applyFont="1" applyFill="1" applyBorder="1" applyProtection="1"/>
    <xf numFmtId="44" fontId="0" fillId="3" borderId="8" xfId="1" applyFont="1" applyFill="1" applyBorder="1" applyProtection="1"/>
    <xf numFmtId="44" fontId="0" fillId="3" borderId="30" xfId="1" applyFont="1" applyFill="1" applyBorder="1" applyProtection="1"/>
    <xf numFmtId="44" fontId="2" fillId="3" borderId="0" xfId="1" applyFont="1" applyFill="1" applyBorder="1" applyProtection="1"/>
    <xf numFmtId="44" fontId="0" fillId="3" borderId="0" xfId="1" applyFont="1" applyFill="1" applyBorder="1" applyProtection="1"/>
    <xf numFmtId="44" fontId="0" fillId="3" borderId="0" xfId="1" applyFont="1" applyFill="1" applyProtection="1"/>
    <xf numFmtId="0" fontId="7" fillId="9" borderId="36" xfId="0" applyFont="1" applyFill="1" applyBorder="1"/>
    <xf numFmtId="0" fontId="0" fillId="0" borderId="37" xfId="0" applyFont="1" applyBorder="1"/>
    <xf numFmtId="0" fontId="0" fillId="0" borderId="38" xfId="0" applyFont="1" applyBorder="1"/>
    <xf numFmtId="0" fontId="7" fillId="5" borderId="39" xfId="0" applyFont="1" applyFill="1" applyBorder="1"/>
    <xf numFmtId="0" fontId="8" fillId="0" borderId="40" xfId="0" applyFont="1" applyBorder="1"/>
    <xf numFmtId="0" fontId="8" fillId="0" borderId="41" xfId="0" applyFont="1" applyBorder="1"/>
    <xf numFmtId="9" fontId="8" fillId="0" borderId="42" xfId="2" applyFont="1" applyFill="1" applyBorder="1"/>
    <xf numFmtId="44" fontId="8" fillId="0" borderId="42" xfId="1" applyFont="1" applyFill="1" applyBorder="1"/>
    <xf numFmtId="0" fontId="8" fillId="0" borderId="43" xfId="0" applyFont="1" applyBorder="1"/>
    <xf numFmtId="0" fontId="7" fillId="5" borderId="44" xfId="0" applyFont="1" applyFill="1" applyBorder="1"/>
    <xf numFmtId="0" fontId="8" fillId="0" borderId="42" xfId="0" applyFont="1" applyBorder="1"/>
    <xf numFmtId="0" fontId="7" fillId="8" borderId="41" xfId="0" applyFont="1" applyFill="1" applyBorder="1"/>
    <xf numFmtId="0" fontId="0" fillId="0" borderId="42" xfId="0" applyFont="1" applyBorder="1"/>
    <xf numFmtId="0" fontId="8" fillId="0" borderId="45" xfId="0" applyFont="1" applyBorder="1"/>
    <xf numFmtId="0" fontId="5" fillId="8" borderId="46" xfId="0" applyFont="1" applyFill="1" applyBorder="1"/>
    <xf numFmtId="0" fontId="0" fillId="0" borderId="41" xfId="0" applyFont="1" applyBorder="1"/>
    <xf numFmtId="0" fontId="0" fillId="0" borderId="45" xfId="0" applyFont="1" applyBorder="1"/>
    <xf numFmtId="0" fontId="5" fillId="8" borderId="42" xfId="0" applyFont="1" applyFill="1" applyBorder="1"/>
    <xf numFmtId="164" fontId="7" fillId="0" borderId="41" xfId="0" applyNumberFormat="1" applyFont="1" applyBorder="1" applyAlignment="1">
      <alignment vertical="center"/>
    </xf>
    <xf numFmtId="0" fontId="5" fillId="0" borderId="42" xfId="0" applyFont="1" applyFill="1" applyBorder="1"/>
    <xf numFmtId="0" fontId="8" fillId="0" borderId="47" xfId="0" applyFont="1" applyBorder="1"/>
    <xf numFmtId="0" fontId="7" fillId="5" borderId="48" xfId="0" applyFont="1" applyFill="1" applyBorder="1"/>
    <xf numFmtId="0" fontId="0" fillId="0" borderId="43" xfId="0" applyFont="1" applyBorder="1"/>
    <xf numFmtId="0" fontId="0" fillId="0" borderId="44" xfId="0" applyFont="1" applyBorder="1"/>
    <xf numFmtId="0" fontId="7" fillId="0" borderId="41" xfId="0" applyFont="1" applyBorder="1"/>
    <xf numFmtId="0" fontId="5" fillId="5" borderId="44" xfId="0" applyFont="1" applyFill="1" applyBorder="1"/>
    <xf numFmtId="0" fontId="0" fillId="0" borderId="41" xfId="0" applyFont="1" applyBorder="1" applyAlignment="1"/>
    <xf numFmtId="0" fontId="0" fillId="0" borderId="42" xfId="0" applyFont="1" applyBorder="1" applyAlignment="1"/>
    <xf numFmtId="0" fontId="0" fillId="0" borderId="49" xfId="0" applyFont="1" applyBorder="1" applyAlignment="1">
      <alignment vertical="center" wrapText="1"/>
    </xf>
    <xf numFmtId="9" fontId="0" fillId="0" borderId="42" xfId="2" applyFont="1" applyBorder="1"/>
    <xf numFmtId="0" fontId="5" fillId="0" borderId="49" xfId="0" applyFont="1" applyBorder="1"/>
    <xf numFmtId="0" fontId="5" fillId="0" borderId="41" xfId="0" applyFont="1" applyBorder="1"/>
    <xf numFmtId="0" fontId="5" fillId="0" borderId="50" xfId="0" applyFont="1" applyFill="1" applyBorder="1"/>
    <xf numFmtId="0" fontId="0" fillId="0" borderId="41" xfId="0" applyFont="1" applyBorder="1" applyAlignment="1">
      <alignment vertical="center" wrapText="1"/>
    </xf>
    <xf numFmtId="0" fontId="5" fillId="5" borderId="42" xfId="0" applyFont="1" applyFill="1" applyBorder="1"/>
    <xf numFmtId="0" fontId="8" fillId="0" borderId="52" xfId="0" applyFont="1" applyBorder="1"/>
    <xf numFmtId="0" fontId="0" fillId="0" borderId="52" xfId="0" applyFont="1" applyBorder="1"/>
    <xf numFmtId="0" fontId="7" fillId="9" borderId="54" xfId="0" applyFont="1" applyFill="1" applyBorder="1"/>
    <xf numFmtId="0" fontId="7" fillId="9" borderId="55" xfId="0" applyFont="1" applyFill="1" applyBorder="1"/>
    <xf numFmtId="164" fontId="7" fillId="9" borderId="55" xfId="0" applyNumberFormat="1" applyFont="1" applyFill="1" applyBorder="1"/>
    <xf numFmtId="0" fontId="7" fillId="9" borderId="56" xfId="0" applyFont="1" applyFill="1" applyBorder="1"/>
    <xf numFmtId="164" fontId="7" fillId="0" borderId="0" xfId="0" applyNumberFormat="1" applyFont="1" applyFill="1" applyBorder="1"/>
    <xf numFmtId="0" fontId="7" fillId="9" borderId="58" xfId="0" applyFont="1" applyFill="1" applyBorder="1"/>
    <xf numFmtId="44" fontId="7" fillId="9" borderId="57" xfId="1" applyFont="1" applyFill="1" applyBorder="1"/>
    <xf numFmtId="0" fontId="7" fillId="9" borderId="39" xfId="0" applyFont="1" applyFill="1" applyBorder="1"/>
    <xf numFmtId="0" fontId="7" fillId="0" borderId="41" xfId="0" applyFont="1" applyFill="1" applyBorder="1" applyAlignment="1">
      <alignment horizontal="left"/>
    </xf>
    <xf numFmtId="0" fontId="5" fillId="0" borderId="42" xfId="0" applyFont="1" applyBorder="1" applyAlignment="1">
      <alignment horizontal="center" vertical="center" wrapText="1"/>
    </xf>
    <xf numFmtId="0" fontId="7" fillId="9" borderId="51" xfId="0" applyFont="1" applyFill="1" applyBorder="1"/>
    <xf numFmtId="164" fontId="7" fillId="9" borderId="52" xfId="1" applyNumberFormat="1" applyFont="1" applyFill="1" applyBorder="1"/>
    <xf numFmtId="0" fontId="7" fillId="9" borderId="53" xfId="0" applyFont="1" applyFill="1" applyBorder="1"/>
    <xf numFmtId="164" fontId="7" fillId="9" borderId="55" xfId="1" applyNumberFormat="1" applyFont="1" applyFill="1" applyBorder="1"/>
    <xf numFmtId="44" fontId="7" fillId="9" borderId="54" xfId="0" applyNumberFormat="1" applyFont="1" applyFill="1" applyBorder="1"/>
    <xf numFmtId="44" fontId="7" fillId="9" borderId="54" xfId="1" applyFont="1" applyFill="1" applyBorder="1"/>
    <xf numFmtId="0" fontId="5" fillId="8" borderId="41" xfId="0" applyFont="1" applyFill="1" applyBorder="1" applyAlignment="1">
      <alignment horizontal="right"/>
    </xf>
    <xf numFmtId="0" fontId="5" fillId="8" borderId="0" xfId="0" applyFont="1" applyFill="1" applyBorder="1" applyAlignment="1">
      <alignment horizontal="right"/>
    </xf>
    <xf numFmtId="0" fontId="0" fillId="0" borderId="41" xfId="0" applyFont="1" applyBorder="1" applyAlignment="1">
      <alignment horizontal="right"/>
    </xf>
    <xf numFmtId="0" fontId="0" fillId="0" borderId="0" xfId="0" applyFont="1" applyBorder="1" applyAlignment="1">
      <alignment horizontal="right"/>
    </xf>
    <xf numFmtId="2" fontId="0" fillId="0" borderId="41" xfId="0" applyNumberFormat="1" applyFont="1" applyBorder="1" applyAlignment="1">
      <alignment horizontal="right"/>
    </xf>
    <xf numFmtId="2" fontId="0" fillId="0" borderId="0" xfId="0" applyNumberFormat="1" applyFont="1" applyBorder="1" applyAlignment="1">
      <alignment horizontal="right"/>
    </xf>
    <xf numFmtId="164" fontId="7" fillId="0" borderId="47" xfId="0" applyNumberFormat="1" applyFont="1" applyBorder="1" applyAlignment="1">
      <alignment horizontal="right" vertical="center"/>
    </xf>
    <xf numFmtId="164" fontId="7" fillId="0" borderId="20" xfId="0" applyNumberFormat="1" applyFont="1" applyBorder="1" applyAlignment="1">
      <alignment horizontal="right" vertical="center"/>
    </xf>
    <xf numFmtId="164" fontId="0" fillId="3" borderId="30" xfId="1" applyNumberFormat="1" applyFont="1" applyFill="1" applyBorder="1" applyProtection="1"/>
    <xf numFmtId="164" fontId="0" fillId="3" borderId="8" xfId="1" applyNumberFormat="1" applyFont="1" applyFill="1" applyBorder="1" applyProtection="1"/>
    <xf numFmtId="0" fontId="0" fillId="0" borderId="0" xfId="0" applyAlignment="1">
      <alignment horizontal="left" vertical="center" indent="5"/>
    </xf>
    <xf numFmtId="0" fontId="0" fillId="0" borderId="0" xfId="0" applyAlignment="1">
      <alignment vertical="center"/>
    </xf>
    <xf numFmtId="0" fontId="22" fillId="0" borderId="0" xfId="3" applyAlignment="1">
      <alignment vertical="center"/>
    </xf>
    <xf numFmtId="0" fontId="0" fillId="0" borderId="0" xfId="0" applyFont="1" applyAlignment="1">
      <alignment vertical="center"/>
    </xf>
    <xf numFmtId="0" fontId="23" fillId="0" borderId="0" xfId="0" applyFont="1"/>
    <xf numFmtId="164" fontId="0" fillId="2" borderId="8" xfId="1" applyNumberFormat="1" applyFont="1" applyFill="1" applyBorder="1" applyProtection="1">
      <protection locked="0"/>
    </xf>
    <xf numFmtId="44" fontId="0" fillId="2" borderId="8" xfId="1" applyFont="1" applyFill="1" applyBorder="1" applyAlignment="1" applyProtection="1">
      <alignment horizontal="right"/>
      <protection locked="0"/>
    </xf>
    <xf numFmtId="44" fontId="5" fillId="0" borderId="20" xfId="0" applyNumberFormat="1" applyFont="1" applyBorder="1"/>
    <xf numFmtId="0" fontId="5" fillId="0" borderId="0" xfId="0" applyFont="1" applyBorder="1" applyAlignment="1">
      <alignment horizontal="center" vertical="center" wrapText="1"/>
    </xf>
    <xf numFmtId="44" fontId="7" fillId="0" borderId="0" xfId="1" applyFont="1" applyFill="1" applyBorder="1" applyAlignment="1">
      <alignment vertical="center"/>
    </xf>
    <xf numFmtId="0" fontId="8" fillId="0" borderId="41" xfId="0" applyFont="1" applyFill="1" applyBorder="1"/>
    <xf numFmtId="44" fontId="7" fillId="0" borderId="42" xfId="1" applyFont="1" applyFill="1" applyBorder="1"/>
    <xf numFmtId="44" fontId="7" fillId="0" borderId="42" xfId="1" applyFont="1" applyFill="1" applyBorder="1" applyAlignment="1">
      <alignment horizontal="center" vertical="center" wrapText="1"/>
    </xf>
    <xf numFmtId="0" fontId="5" fillId="0" borderId="0" xfId="0" applyFont="1" applyAlignment="1">
      <alignment horizontal="center" vertical="center" wrapText="1"/>
    </xf>
    <xf numFmtId="1" fontId="5" fillId="0" borderId="0" xfId="0" applyNumberFormat="1" applyFont="1"/>
    <xf numFmtId="164" fontId="12" fillId="0" borderId="0" xfId="1" applyNumberFormat="1" applyFont="1" applyBorder="1"/>
    <xf numFmtId="164" fontId="15" fillId="0" borderId="0" xfId="0" applyNumberFormat="1" applyFont="1" applyBorder="1"/>
    <xf numFmtId="164" fontId="12" fillId="0" borderId="0" xfId="0" applyNumberFormat="1" applyFont="1" applyBorder="1"/>
    <xf numFmtId="164" fontId="12" fillId="5" borderId="0" xfId="0" applyNumberFormat="1" applyFont="1" applyFill="1" applyBorder="1"/>
    <xf numFmtId="6" fontId="14" fillId="0" borderId="0" xfId="0" applyNumberFormat="1" applyFont="1" applyBorder="1"/>
    <xf numFmtId="6" fontId="15" fillId="5" borderId="0" xfId="0" applyNumberFormat="1" applyFont="1" applyFill="1" applyBorder="1"/>
    <xf numFmtId="164" fontId="15" fillId="0" borderId="0" xfId="1" applyNumberFormat="1" applyFont="1" applyBorder="1"/>
    <xf numFmtId="164" fontId="15" fillId="5" borderId="0" xfId="0" applyNumberFormat="1" applyFont="1" applyFill="1" applyBorder="1"/>
    <xf numFmtId="0" fontId="13" fillId="0" borderId="9" xfId="0" applyFont="1" applyBorder="1" applyAlignment="1">
      <alignment horizontal="left"/>
    </xf>
    <xf numFmtId="9" fontId="13" fillId="2" borderId="16" xfId="0" applyNumberFormat="1" applyFont="1" applyFill="1" applyBorder="1" applyProtection="1">
      <protection locked="0"/>
    </xf>
    <xf numFmtId="44" fontId="15" fillId="0" borderId="2" xfId="1" applyFont="1" applyBorder="1" applyAlignment="1">
      <alignment horizontal="left"/>
    </xf>
    <xf numFmtId="169" fontId="5" fillId="11" borderId="0" xfId="0" applyNumberFormat="1" applyFont="1" applyFill="1" applyBorder="1"/>
    <xf numFmtId="0" fontId="0" fillId="0" borderId="0" xfId="0"/>
    <xf numFmtId="169" fontId="0" fillId="0" borderId="0" xfId="0" applyNumberFormat="1"/>
    <xf numFmtId="0" fontId="0" fillId="0" borderId="0" xfId="0" applyFont="1" applyBorder="1" applyAlignment="1">
      <alignment horizontal="center" wrapText="1"/>
    </xf>
    <xf numFmtId="0" fontId="7" fillId="0" borderId="43" xfId="0" applyFont="1" applyBorder="1"/>
    <xf numFmtId="0" fontId="15" fillId="0" borderId="3" xfId="0" applyFont="1" applyFill="1" applyBorder="1" applyAlignment="1">
      <alignment horizontal="center" vertical="center" wrapText="1"/>
    </xf>
    <xf numFmtId="44" fontId="2" fillId="7" borderId="0" xfId="1" applyFont="1" applyFill="1" applyBorder="1" applyAlignment="1">
      <alignment horizontal="center"/>
    </xf>
    <xf numFmtId="44" fontId="0" fillId="0" borderId="0" xfId="1" applyFont="1" applyFill="1" applyBorder="1" applyAlignment="1">
      <alignment horizontal="center"/>
    </xf>
    <xf numFmtId="44" fontId="0" fillId="0" borderId="0" xfId="1" applyFont="1" applyAlignment="1">
      <alignment horizontal="center"/>
    </xf>
    <xf numFmtId="0" fontId="5" fillId="0" borderId="0" xfId="0" applyFont="1" applyFill="1" applyBorder="1" applyAlignment="1">
      <alignment horizontal="center"/>
    </xf>
    <xf numFmtId="0" fontId="5" fillId="0" borderId="0" xfId="0" applyFont="1" applyBorder="1" applyAlignment="1">
      <alignment horizontal="center"/>
    </xf>
    <xf numFmtId="2" fontId="0" fillId="0" borderId="0" xfId="0" applyNumberFormat="1" applyBorder="1" applyAlignment="1">
      <alignment horizontal="center"/>
    </xf>
    <xf numFmtId="9" fontId="4" fillId="0" borderId="0" xfId="2" applyFont="1" applyBorder="1" applyAlignment="1">
      <alignment horizontal="center" vertical="center" wrapText="1"/>
    </xf>
    <xf numFmtId="0" fontId="0" fillId="2" borderId="30" xfId="1" applyNumberFormat="1" applyFont="1" applyFill="1" applyBorder="1" applyAlignment="1" applyProtection="1">
      <alignment horizontal="center"/>
      <protection locked="0"/>
    </xf>
    <xf numFmtId="0" fontId="2" fillId="7" borderId="0" xfId="1" applyNumberFormat="1" applyFont="1" applyFill="1" applyBorder="1" applyAlignment="1" applyProtection="1">
      <alignment horizontal="center"/>
      <protection locked="0"/>
    </xf>
    <xf numFmtId="0" fontId="0" fillId="7" borderId="0" xfId="1" applyNumberFormat="1" applyFont="1" applyFill="1" applyBorder="1" applyAlignment="1" applyProtection="1">
      <alignment horizontal="center"/>
      <protection locked="0"/>
    </xf>
    <xf numFmtId="0" fontId="0" fillId="7" borderId="0" xfId="1" applyNumberFormat="1" applyFont="1" applyFill="1" applyAlignment="1" applyProtection="1">
      <alignment horizontal="center"/>
      <protection locked="0"/>
    </xf>
    <xf numFmtId="1" fontId="15" fillId="2" borderId="16" xfId="0" applyNumberFormat="1" applyFont="1" applyFill="1" applyBorder="1" applyAlignment="1" applyProtection="1">
      <alignment horizontal="center"/>
      <protection locked="0"/>
    </xf>
    <xf numFmtId="44" fontId="15" fillId="2" borderId="17" xfId="1" applyFont="1" applyFill="1" applyBorder="1" applyAlignment="1" applyProtection="1">
      <alignment vertical="center"/>
      <protection locked="0"/>
    </xf>
    <xf numFmtId="8" fontId="7" fillId="9" borderId="16" xfId="1" applyNumberFormat="1" applyFont="1" applyFill="1" applyBorder="1"/>
    <xf numFmtId="44" fontId="5" fillId="0" borderId="0" xfId="0" applyNumberFormat="1" applyFont="1" applyFill="1"/>
    <xf numFmtId="9" fontId="0" fillId="0" borderId="0" xfId="2" applyFont="1" applyFill="1" applyBorder="1"/>
    <xf numFmtId="164" fontId="7" fillId="0" borderId="0" xfId="1" applyNumberFormat="1" applyFont="1" applyFill="1" applyBorder="1"/>
    <xf numFmtId="44" fontId="7" fillId="0" borderId="0" xfId="0" applyNumberFormat="1" applyFont="1" applyFill="1" applyBorder="1"/>
    <xf numFmtId="0" fontId="4" fillId="0" borderId="0" xfId="0" applyFont="1" applyFill="1" applyBorder="1" applyAlignment="1">
      <alignment vertical="center" wrapText="1"/>
    </xf>
    <xf numFmtId="0" fontId="0" fillId="0" borderId="0" xfId="0" applyFill="1"/>
    <xf numFmtId="0" fontId="6" fillId="0" borderId="0" xfId="0" applyFont="1" applyFill="1" applyProtection="1">
      <protection locked="0"/>
    </xf>
    <xf numFmtId="0" fontId="6" fillId="0" borderId="0" xfId="0" applyFont="1" applyFill="1" applyBorder="1" applyProtection="1">
      <protection locked="0"/>
    </xf>
    <xf numFmtId="0" fontId="0" fillId="0" borderId="0" xfId="1" applyNumberFormat="1" applyFont="1" applyFill="1" applyBorder="1" applyAlignment="1" applyProtection="1">
      <alignment horizontal="center"/>
      <protection locked="0"/>
    </xf>
    <xf numFmtId="0" fontId="0" fillId="0" borderId="0" xfId="0" applyFill="1" applyProtection="1">
      <protection locked="0"/>
    </xf>
    <xf numFmtId="44" fontId="0" fillId="0" borderId="0" xfId="1" applyFont="1" applyFill="1" applyBorder="1" applyProtection="1">
      <protection locked="0"/>
    </xf>
    <xf numFmtId="44" fontId="0" fillId="0" borderId="0" xfId="1" applyFont="1" applyFill="1" applyBorder="1" applyProtection="1"/>
    <xf numFmtId="0" fontId="0" fillId="2" borderId="10" xfId="1" applyNumberFormat="1" applyFont="1" applyFill="1" applyBorder="1" applyAlignment="1" applyProtection="1">
      <alignment horizontal="center"/>
      <protection locked="0"/>
    </xf>
    <xf numFmtId="0" fontId="0" fillId="2" borderId="10" xfId="0" applyFill="1" applyBorder="1" applyProtection="1">
      <protection locked="0"/>
    </xf>
    <xf numFmtId="44" fontId="0" fillId="2" borderId="10" xfId="1" applyFont="1" applyFill="1" applyBorder="1" applyProtection="1">
      <protection locked="0"/>
    </xf>
    <xf numFmtId="0" fontId="4" fillId="2" borderId="0" xfId="0" applyFont="1" applyFill="1" applyBorder="1" applyAlignment="1" applyProtection="1">
      <alignment vertical="center" wrapText="1"/>
      <protection locked="0"/>
    </xf>
    <xf numFmtId="0" fontId="0" fillId="0" borderId="30" xfId="0" applyBorder="1"/>
    <xf numFmtId="0" fontId="0" fillId="0" borderId="0" xfId="0" applyBorder="1" applyProtection="1"/>
    <xf numFmtId="0" fontId="0" fillId="0" borderId="3" xfId="0" applyBorder="1" applyAlignment="1">
      <alignment horizontal="center"/>
    </xf>
    <xf numFmtId="0" fontId="2" fillId="7" borderId="0" xfId="0" applyFont="1" applyFill="1" applyBorder="1" applyAlignment="1">
      <alignment horizontal="center"/>
    </xf>
    <xf numFmtId="0" fontId="0" fillId="7" borderId="0" xfId="0" applyFill="1" applyBorder="1" applyAlignment="1">
      <alignment horizontal="center"/>
    </xf>
    <xf numFmtId="0" fontId="0" fillId="0" borderId="0" xfId="0" applyFill="1" applyBorder="1" applyAlignment="1">
      <alignment horizontal="center"/>
    </xf>
    <xf numFmtId="0" fontId="0" fillId="7" borderId="0" xfId="0" applyFill="1" applyAlignment="1">
      <alignment horizontal="center"/>
    </xf>
    <xf numFmtId="0" fontId="0" fillId="0" borderId="0" xfId="0" applyAlignment="1">
      <alignment horizontal="center"/>
    </xf>
    <xf numFmtId="0" fontId="0" fillId="2" borderId="10" xfId="0" applyFill="1" applyBorder="1" applyAlignment="1" applyProtection="1">
      <alignment horizontal="center"/>
      <protection locked="0"/>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wrapText="1"/>
    </xf>
    <xf numFmtId="0" fontId="0" fillId="3" borderId="19" xfId="0" applyFill="1" applyBorder="1" applyAlignment="1">
      <alignment horizontal="center" wrapText="1"/>
    </xf>
    <xf numFmtId="0" fontId="0" fillId="3" borderId="5" xfId="0" applyFill="1" applyBorder="1" applyAlignment="1">
      <alignment horizontal="center" wrapText="1"/>
    </xf>
    <xf numFmtId="0" fontId="0" fillId="0" borderId="19" xfId="0" applyBorder="1" applyAlignment="1">
      <alignment horizontal="center" wrapText="1"/>
    </xf>
    <xf numFmtId="0" fontId="0" fillId="0" borderId="5" xfId="0" applyBorder="1" applyAlignment="1">
      <alignment horizontal="center" wrapText="1"/>
    </xf>
    <xf numFmtId="0" fontId="0" fillId="0" borderId="12" xfId="0" applyBorder="1" applyAlignment="1">
      <alignment horizontal="center"/>
    </xf>
    <xf numFmtId="0" fontId="0" fillId="0" borderId="14" xfId="0" applyBorder="1" applyAlignment="1">
      <alignment horizontal="center"/>
    </xf>
    <xf numFmtId="0" fontId="0" fillId="0" borderId="16" xfId="0" applyBorder="1" applyAlignment="1">
      <alignment horizontal="center" wrapText="1"/>
    </xf>
    <xf numFmtId="0" fontId="0" fillId="0" borderId="31" xfId="0" applyBorder="1" applyAlignment="1">
      <alignment horizontal="center" wrapText="1"/>
    </xf>
    <xf numFmtId="0" fontId="0" fillId="0" borderId="32" xfId="0" applyBorder="1" applyAlignment="1">
      <alignment horizontal="center" wrapText="1"/>
    </xf>
    <xf numFmtId="0" fontId="0" fillId="0" borderId="21" xfId="0" applyBorder="1" applyAlignment="1">
      <alignment horizontal="center" wrapText="1"/>
    </xf>
    <xf numFmtId="0" fontId="0" fillId="0" borderId="17" xfId="0" applyBorder="1" applyAlignment="1">
      <alignment horizontal="center" wrapText="1"/>
    </xf>
    <xf numFmtId="0" fontId="0" fillId="0" borderId="8" xfId="0" applyBorder="1" applyAlignment="1">
      <alignment horizontal="center" vertical="center" wrapText="1"/>
    </xf>
    <xf numFmtId="0" fontId="0" fillId="0" borderId="33" xfId="0" applyBorder="1" applyAlignment="1">
      <alignment horizontal="center" vertical="center" wrapText="1"/>
    </xf>
    <xf numFmtId="0" fontId="0" fillId="3" borderId="12" xfId="0" applyFill="1" applyBorder="1" applyAlignment="1">
      <alignment horizontal="center" wrapText="1"/>
    </xf>
    <xf numFmtId="0" fontId="0" fillId="3" borderId="14" xfId="0" applyFill="1" applyBorder="1" applyAlignment="1">
      <alignment horizontal="center" wrapText="1"/>
    </xf>
    <xf numFmtId="0" fontId="5" fillId="9" borderId="12" xfId="0" applyFont="1" applyFill="1" applyBorder="1" applyAlignment="1">
      <alignment horizontal="center" wrapText="1"/>
    </xf>
    <xf numFmtId="0" fontId="5" fillId="9" borderId="13" xfId="0" applyFont="1" applyFill="1" applyBorder="1" applyAlignment="1">
      <alignment horizont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11" xfId="0" applyBorder="1" applyAlignment="1">
      <alignment horizontal="center" wrapText="1"/>
    </xf>
    <xf numFmtId="44" fontId="0" fillId="0" borderId="11" xfId="1" applyFont="1" applyBorder="1" applyAlignment="1">
      <alignment horizontal="center"/>
    </xf>
    <xf numFmtId="44" fontId="0" fillId="0" borderId="5" xfId="1" applyFont="1" applyBorder="1" applyAlignment="1">
      <alignment horizontal="center"/>
    </xf>
    <xf numFmtId="0" fontId="5" fillId="9" borderId="12"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14" fillId="10" borderId="0" xfId="0" applyFont="1" applyFill="1" applyAlignment="1">
      <alignment horizontal="center" wrapText="1"/>
    </xf>
    <xf numFmtId="0" fontId="15" fillId="9" borderId="19" xfId="0" applyFont="1" applyFill="1" applyBorder="1" applyAlignment="1">
      <alignment horizontal="center" wrapText="1"/>
    </xf>
    <xf numFmtId="0" fontId="15" fillId="9" borderId="5" xfId="0" applyFont="1" applyFill="1" applyBorder="1" applyAlignment="1">
      <alignment horizontal="center" wrapText="1"/>
    </xf>
    <xf numFmtId="0" fontId="0" fillId="4" borderId="0" xfId="0" applyFont="1" applyFill="1" applyBorder="1" applyAlignment="1">
      <alignment horizontal="center" wrapText="1"/>
    </xf>
    <xf numFmtId="0" fontId="13" fillId="0" borderId="22" xfId="0" applyFont="1" applyFill="1" applyBorder="1" applyAlignment="1">
      <alignment horizontal="left"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1" xfId="0" applyFont="1" applyBorder="1" applyAlignment="1">
      <alignment horizontal="center" wrapText="1"/>
    </xf>
    <xf numFmtId="0" fontId="15" fillId="0" borderId="1" xfId="0" applyFont="1" applyBorder="1" applyAlignment="1">
      <alignment horizontal="center" wrapText="1"/>
    </xf>
    <xf numFmtId="0" fontId="15" fillId="0" borderId="3" xfId="0" applyFont="1" applyFill="1" applyBorder="1" applyAlignment="1">
      <alignment horizontal="center" wrapText="1"/>
    </xf>
    <xf numFmtId="0" fontId="15" fillId="0" borderId="0" xfId="0" applyFont="1" applyFill="1" applyBorder="1" applyAlignment="1">
      <alignment horizontal="center" wrapText="1"/>
    </xf>
    <xf numFmtId="0" fontId="0" fillId="0" borderId="3" xfId="0" applyFont="1" applyBorder="1" applyAlignment="1">
      <alignment horizontal="center" wrapText="1"/>
    </xf>
    <xf numFmtId="0" fontId="0" fillId="0" borderId="0" xfId="0" applyFont="1" applyBorder="1" applyAlignment="1">
      <alignment horizontal="center" wrapText="1"/>
    </xf>
    <xf numFmtId="0" fontId="0" fillId="0" borderId="18" xfId="0" applyFont="1" applyBorder="1" applyAlignment="1">
      <alignment horizontal="center" vertical="center" wrapText="1"/>
    </xf>
    <xf numFmtId="0" fontId="0" fillId="0" borderId="35" xfId="0" applyFont="1" applyBorder="1" applyAlignment="1">
      <alignment horizontal="center" vertical="center" wrapText="1"/>
    </xf>
    <xf numFmtId="0" fontId="8" fillId="3"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0" xfId="0" applyFont="1" applyFill="1" applyBorder="1" applyAlignment="1">
      <alignment horizontal="center" vertical="center"/>
    </xf>
  </cellXfs>
  <cellStyles count="4">
    <cellStyle name="Link" xfId="3" builtinId="8"/>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D$4" lockText="1"/>
</file>

<file path=xl/ctrlProps/ctrlProp10.xml><?xml version="1.0" encoding="utf-8"?>
<formControlPr xmlns="http://schemas.microsoft.com/office/spreadsheetml/2009/9/main" objectType="CheckBox" fmlaLink="$D$14" lockText="1"/>
</file>

<file path=xl/ctrlProps/ctrlProp11.xml><?xml version="1.0" encoding="utf-8"?>
<formControlPr xmlns="http://schemas.microsoft.com/office/spreadsheetml/2009/9/main" objectType="CheckBox" fmlaLink="$D$15" lockText="1"/>
</file>

<file path=xl/ctrlProps/ctrlProp12.xml><?xml version="1.0" encoding="utf-8"?>
<formControlPr xmlns="http://schemas.microsoft.com/office/spreadsheetml/2009/9/main" objectType="CheckBox" checked="Checked" fmlaLink="$D$16" lockText="1"/>
</file>

<file path=xl/ctrlProps/ctrlProp13.xml><?xml version="1.0" encoding="utf-8"?>
<formControlPr xmlns="http://schemas.microsoft.com/office/spreadsheetml/2009/9/main" objectType="CheckBox" checked="Checked" fmlaLink="$D$18" lockText="1"/>
</file>

<file path=xl/ctrlProps/ctrlProp14.xml><?xml version="1.0" encoding="utf-8"?>
<formControlPr xmlns="http://schemas.microsoft.com/office/spreadsheetml/2009/9/main" objectType="CheckBox" checked="Checked" fmlaLink="$D$19" lockText="1"/>
</file>

<file path=xl/ctrlProps/ctrlProp15.xml><?xml version="1.0" encoding="utf-8"?>
<formControlPr xmlns="http://schemas.microsoft.com/office/spreadsheetml/2009/9/main" objectType="CheckBox" fmlaLink="$D$21" lockText="1"/>
</file>

<file path=xl/ctrlProps/ctrlProp16.xml><?xml version="1.0" encoding="utf-8"?>
<formControlPr xmlns="http://schemas.microsoft.com/office/spreadsheetml/2009/9/main" objectType="CheckBox" fmlaLink="$D$22" lockText="1"/>
</file>

<file path=xl/ctrlProps/ctrlProp17.xml><?xml version="1.0" encoding="utf-8"?>
<formControlPr xmlns="http://schemas.microsoft.com/office/spreadsheetml/2009/9/main" objectType="CheckBox" fmlaLink="$D$23" lockText="1"/>
</file>

<file path=xl/ctrlProps/ctrlProp18.xml><?xml version="1.0" encoding="utf-8"?>
<formControlPr xmlns="http://schemas.microsoft.com/office/spreadsheetml/2009/9/main" objectType="CheckBox" checked="Checked" fmlaLink="$D$24" lockText="1"/>
</file>

<file path=xl/ctrlProps/ctrlProp19.xml><?xml version="1.0" encoding="utf-8"?>
<formControlPr xmlns="http://schemas.microsoft.com/office/spreadsheetml/2009/9/main" objectType="CheckBox" checked="Checked" fmlaLink="$D$25" lockText="1"/>
</file>

<file path=xl/ctrlProps/ctrlProp2.xml><?xml version="1.0" encoding="utf-8"?>
<formControlPr xmlns="http://schemas.microsoft.com/office/spreadsheetml/2009/9/main" objectType="CheckBox" checked="Checked" fmlaLink="$D$5" lockText="1"/>
</file>

<file path=xl/ctrlProps/ctrlProp20.xml><?xml version="1.0" encoding="utf-8"?>
<formControlPr xmlns="http://schemas.microsoft.com/office/spreadsheetml/2009/9/main" objectType="CheckBox" fmlaLink="$D$26" lockText="1"/>
</file>

<file path=xl/ctrlProps/ctrlProp21.xml><?xml version="1.0" encoding="utf-8"?>
<formControlPr xmlns="http://schemas.microsoft.com/office/spreadsheetml/2009/9/main" objectType="CheckBox" fmlaLink="$D$27" lockText="1"/>
</file>

<file path=xl/ctrlProps/ctrlProp22.xml><?xml version="1.0" encoding="utf-8"?>
<formControlPr xmlns="http://schemas.microsoft.com/office/spreadsheetml/2009/9/main" objectType="CheckBox" fmlaLink="$D$28" lockText="1"/>
</file>

<file path=xl/ctrlProps/ctrlProp23.xml><?xml version="1.0" encoding="utf-8"?>
<formControlPr xmlns="http://schemas.microsoft.com/office/spreadsheetml/2009/9/main" objectType="CheckBox" fmlaLink="$D$29" lockText="1"/>
</file>

<file path=xl/ctrlProps/ctrlProp24.xml><?xml version="1.0" encoding="utf-8"?>
<formControlPr xmlns="http://schemas.microsoft.com/office/spreadsheetml/2009/9/main" objectType="CheckBox" checked="Checked" fmlaLink="$D$30" lockText="1"/>
</file>

<file path=xl/ctrlProps/ctrlProp25.xml><?xml version="1.0" encoding="utf-8"?>
<formControlPr xmlns="http://schemas.microsoft.com/office/spreadsheetml/2009/9/main" objectType="CheckBox" fmlaLink="$D$36" lockText="1"/>
</file>

<file path=xl/ctrlProps/ctrlProp26.xml><?xml version="1.0" encoding="utf-8"?>
<formControlPr xmlns="http://schemas.microsoft.com/office/spreadsheetml/2009/9/main" objectType="CheckBox" fmlaLink="$D$37" lockText="1"/>
</file>

<file path=xl/ctrlProps/ctrlProp27.xml><?xml version="1.0" encoding="utf-8"?>
<formControlPr xmlns="http://schemas.microsoft.com/office/spreadsheetml/2009/9/main" objectType="CheckBox" checked="Checked" fmlaLink="$D$38" lockText="1"/>
</file>

<file path=xl/ctrlProps/ctrlProp28.xml><?xml version="1.0" encoding="utf-8"?>
<formControlPr xmlns="http://schemas.microsoft.com/office/spreadsheetml/2009/9/main" objectType="CheckBox" fmlaLink="$D$40" lockText="1"/>
</file>

<file path=xl/ctrlProps/ctrlProp29.xml><?xml version="1.0" encoding="utf-8"?>
<formControlPr xmlns="http://schemas.microsoft.com/office/spreadsheetml/2009/9/main" objectType="CheckBox" fmlaLink="$D$41" lockText="1"/>
</file>

<file path=xl/ctrlProps/ctrlProp3.xml><?xml version="1.0" encoding="utf-8"?>
<formControlPr xmlns="http://schemas.microsoft.com/office/spreadsheetml/2009/9/main" objectType="CheckBox" checked="Checked" fmlaLink="$D$6" lockText="1"/>
</file>

<file path=xl/ctrlProps/ctrlProp30.xml><?xml version="1.0" encoding="utf-8"?>
<formControlPr xmlns="http://schemas.microsoft.com/office/spreadsheetml/2009/9/main" objectType="CheckBox" fmlaLink="$D$42" lockText="1"/>
</file>

<file path=xl/ctrlProps/ctrlProp31.xml><?xml version="1.0" encoding="utf-8"?>
<formControlPr xmlns="http://schemas.microsoft.com/office/spreadsheetml/2009/9/main" objectType="CheckBox" fmlaLink="$D$43" lockText="1"/>
</file>

<file path=xl/ctrlProps/ctrlProp32.xml><?xml version="1.0" encoding="utf-8"?>
<formControlPr xmlns="http://schemas.microsoft.com/office/spreadsheetml/2009/9/main" objectType="CheckBox" fmlaLink="$D$44" lockText="1"/>
</file>

<file path=xl/ctrlProps/ctrlProp33.xml><?xml version="1.0" encoding="utf-8"?>
<formControlPr xmlns="http://schemas.microsoft.com/office/spreadsheetml/2009/9/main" objectType="CheckBox" checked="Checked" fmlaLink="$D$46" lockText="1"/>
</file>

<file path=xl/ctrlProps/ctrlProp34.xml><?xml version="1.0" encoding="utf-8"?>
<formControlPr xmlns="http://schemas.microsoft.com/office/spreadsheetml/2009/9/main" objectType="CheckBox" checked="Checked" fmlaLink="$D$47" lockText="1"/>
</file>

<file path=xl/ctrlProps/ctrlProp35.xml><?xml version="1.0" encoding="utf-8"?>
<formControlPr xmlns="http://schemas.microsoft.com/office/spreadsheetml/2009/9/main" objectType="CheckBox" checked="Checked" fmlaLink="$D$49" lockText="1"/>
</file>

<file path=xl/ctrlProps/ctrlProp36.xml><?xml version="1.0" encoding="utf-8"?>
<formControlPr xmlns="http://schemas.microsoft.com/office/spreadsheetml/2009/9/main" objectType="CheckBox" checked="Checked" fmlaLink="$D$31" lockText="1"/>
</file>

<file path=xl/ctrlProps/ctrlProp37.xml><?xml version="1.0" encoding="utf-8"?>
<formControlPr xmlns="http://schemas.microsoft.com/office/spreadsheetml/2009/9/main" objectType="CheckBox" checked="Checked" fmlaLink="$D$32" lockText="1"/>
</file>

<file path=xl/ctrlProps/ctrlProp38.xml><?xml version="1.0" encoding="utf-8"?>
<formControlPr xmlns="http://schemas.microsoft.com/office/spreadsheetml/2009/9/main" objectType="CheckBox" fmlaLink="$D$33" lockText="1"/>
</file>

<file path=xl/ctrlProps/ctrlProp39.xml><?xml version="1.0" encoding="utf-8"?>
<formControlPr xmlns="http://schemas.microsoft.com/office/spreadsheetml/2009/9/main" objectType="CheckBox" checked="Checked" fmlaLink="$D$35" lockText="1"/>
</file>

<file path=xl/ctrlProps/ctrlProp4.xml><?xml version="1.0" encoding="utf-8"?>
<formControlPr xmlns="http://schemas.microsoft.com/office/spreadsheetml/2009/9/main" objectType="CheckBox" fmlaLink="$D$8" lockText="1"/>
</file>

<file path=xl/ctrlProps/ctrlProp40.xml><?xml version="1.0" encoding="utf-8"?>
<formControlPr xmlns="http://schemas.microsoft.com/office/spreadsheetml/2009/9/main" objectType="CheckBox" fmlaLink="$F$4" lockText="1"/>
</file>

<file path=xl/ctrlProps/ctrlProp41.xml><?xml version="1.0" encoding="utf-8"?>
<formControlPr xmlns="http://schemas.microsoft.com/office/spreadsheetml/2009/9/main" objectType="CheckBox" fmlaLink="$F$5" lockText="1"/>
</file>

<file path=xl/ctrlProps/ctrlProp42.xml><?xml version="1.0" encoding="utf-8"?>
<formControlPr xmlns="http://schemas.microsoft.com/office/spreadsheetml/2009/9/main" objectType="CheckBox" fmlaLink="$F$6" lockText="1"/>
</file>

<file path=xl/ctrlProps/ctrlProp43.xml><?xml version="1.0" encoding="utf-8"?>
<formControlPr xmlns="http://schemas.microsoft.com/office/spreadsheetml/2009/9/main" objectType="CheckBox" fmlaLink="$F$7" lockText="1"/>
</file>

<file path=xl/ctrlProps/ctrlProp44.xml><?xml version="1.0" encoding="utf-8"?>
<formControlPr xmlns="http://schemas.microsoft.com/office/spreadsheetml/2009/9/main" objectType="CheckBox" fmlaLink="$F$8" lockText="1"/>
</file>

<file path=xl/ctrlProps/ctrlProp45.xml><?xml version="1.0" encoding="utf-8"?>
<formControlPr xmlns="http://schemas.microsoft.com/office/spreadsheetml/2009/9/main" objectType="CheckBox" fmlaLink="$F$9" lockText="1"/>
</file>

<file path=xl/ctrlProps/ctrlProp46.xml><?xml version="1.0" encoding="utf-8"?>
<formControlPr xmlns="http://schemas.microsoft.com/office/spreadsheetml/2009/9/main" objectType="CheckBox" fmlaLink="$F$11" lockText="1"/>
</file>

<file path=xl/ctrlProps/ctrlProp47.xml><?xml version="1.0" encoding="utf-8"?>
<formControlPr xmlns="http://schemas.microsoft.com/office/spreadsheetml/2009/9/main" objectType="CheckBox" fmlaLink="$F$12" lockText="1"/>
</file>

<file path=xl/ctrlProps/ctrlProp48.xml><?xml version="1.0" encoding="utf-8"?>
<formControlPr xmlns="http://schemas.microsoft.com/office/spreadsheetml/2009/9/main" objectType="CheckBox" fmlaLink="$F$13" lockText="1"/>
</file>

<file path=xl/ctrlProps/ctrlProp49.xml><?xml version="1.0" encoding="utf-8"?>
<formControlPr xmlns="http://schemas.microsoft.com/office/spreadsheetml/2009/9/main" objectType="CheckBox" fmlaLink="$F$14" lockText="1"/>
</file>

<file path=xl/ctrlProps/ctrlProp5.xml><?xml version="1.0" encoding="utf-8"?>
<formControlPr xmlns="http://schemas.microsoft.com/office/spreadsheetml/2009/9/main" objectType="CheckBox" fmlaLink="$D$7" lockText="1"/>
</file>

<file path=xl/ctrlProps/ctrlProp50.xml><?xml version="1.0" encoding="utf-8"?>
<formControlPr xmlns="http://schemas.microsoft.com/office/spreadsheetml/2009/9/main" objectType="CheckBox" fmlaLink="$F$15" lockText="1"/>
</file>

<file path=xl/ctrlProps/ctrlProp51.xml><?xml version="1.0" encoding="utf-8"?>
<formControlPr xmlns="http://schemas.microsoft.com/office/spreadsheetml/2009/9/main" objectType="CheckBox" fmlaLink="$F$16" lockText="1"/>
</file>

<file path=xl/ctrlProps/ctrlProp52.xml><?xml version="1.0" encoding="utf-8"?>
<formControlPr xmlns="http://schemas.microsoft.com/office/spreadsheetml/2009/9/main" objectType="CheckBox" fmlaLink="$F$18" lockText="1"/>
</file>

<file path=xl/ctrlProps/ctrlProp53.xml><?xml version="1.0" encoding="utf-8"?>
<formControlPr xmlns="http://schemas.microsoft.com/office/spreadsheetml/2009/9/main" objectType="CheckBox" fmlaLink="$F$19" lockText="1"/>
</file>

<file path=xl/ctrlProps/ctrlProp54.xml><?xml version="1.0" encoding="utf-8"?>
<formControlPr xmlns="http://schemas.microsoft.com/office/spreadsheetml/2009/9/main" objectType="CheckBox" fmlaLink="$F$21" lockText="1"/>
</file>

<file path=xl/ctrlProps/ctrlProp55.xml><?xml version="1.0" encoding="utf-8"?>
<formControlPr xmlns="http://schemas.microsoft.com/office/spreadsheetml/2009/9/main" objectType="CheckBox" fmlaLink="$F$22" lockText="1"/>
</file>

<file path=xl/ctrlProps/ctrlProp56.xml><?xml version="1.0" encoding="utf-8"?>
<formControlPr xmlns="http://schemas.microsoft.com/office/spreadsheetml/2009/9/main" objectType="CheckBox" fmlaLink="$F$23" lockText="1"/>
</file>

<file path=xl/ctrlProps/ctrlProp57.xml><?xml version="1.0" encoding="utf-8"?>
<formControlPr xmlns="http://schemas.microsoft.com/office/spreadsheetml/2009/9/main" objectType="CheckBox" fmlaLink="$F$24" lockText="1"/>
</file>

<file path=xl/ctrlProps/ctrlProp58.xml><?xml version="1.0" encoding="utf-8"?>
<formControlPr xmlns="http://schemas.microsoft.com/office/spreadsheetml/2009/9/main" objectType="CheckBox" fmlaLink="$F$25" lockText="1"/>
</file>

<file path=xl/ctrlProps/ctrlProp59.xml><?xml version="1.0" encoding="utf-8"?>
<formControlPr xmlns="http://schemas.microsoft.com/office/spreadsheetml/2009/9/main" objectType="CheckBox" fmlaLink="$F$26" lockText="1"/>
</file>

<file path=xl/ctrlProps/ctrlProp6.xml><?xml version="1.0" encoding="utf-8"?>
<formControlPr xmlns="http://schemas.microsoft.com/office/spreadsheetml/2009/9/main" objectType="CheckBox" checked="Checked" fmlaLink="$D$9" lockText="1"/>
</file>

<file path=xl/ctrlProps/ctrlProp60.xml><?xml version="1.0" encoding="utf-8"?>
<formControlPr xmlns="http://schemas.microsoft.com/office/spreadsheetml/2009/9/main" objectType="CheckBox" fmlaLink="$F$27" lockText="1"/>
</file>

<file path=xl/ctrlProps/ctrlProp61.xml><?xml version="1.0" encoding="utf-8"?>
<formControlPr xmlns="http://schemas.microsoft.com/office/spreadsheetml/2009/9/main" objectType="CheckBox" fmlaLink="$F$28" lockText="1"/>
</file>

<file path=xl/ctrlProps/ctrlProp62.xml><?xml version="1.0" encoding="utf-8"?>
<formControlPr xmlns="http://schemas.microsoft.com/office/spreadsheetml/2009/9/main" objectType="CheckBox" fmlaLink="$F$29" lockText="1"/>
</file>

<file path=xl/ctrlProps/ctrlProp63.xml><?xml version="1.0" encoding="utf-8"?>
<formControlPr xmlns="http://schemas.microsoft.com/office/spreadsheetml/2009/9/main" objectType="CheckBox" fmlaLink="$F$30" lockText="1"/>
</file>

<file path=xl/ctrlProps/ctrlProp64.xml><?xml version="1.0" encoding="utf-8"?>
<formControlPr xmlns="http://schemas.microsoft.com/office/spreadsheetml/2009/9/main" objectType="CheckBox" fmlaLink="$F$31" lockText="1"/>
</file>

<file path=xl/ctrlProps/ctrlProp65.xml><?xml version="1.0" encoding="utf-8"?>
<formControlPr xmlns="http://schemas.microsoft.com/office/spreadsheetml/2009/9/main" objectType="CheckBox" fmlaLink="$F$32" lockText="1"/>
</file>

<file path=xl/ctrlProps/ctrlProp66.xml><?xml version="1.0" encoding="utf-8"?>
<formControlPr xmlns="http://schemas.microsoft.com/office/spreadsheetml/2009/9/main" objectType="CheckBox" fmlaLink="$F$33" lockText="1"/>
</file>

<file path=xl/ctrlProps/ctrlProp67.xml><?xml version="1.0" encoding="utf-8"?>
<formControlPr xmlns="http://schemas.microsoft.com/office/spreadsheetml/2009/9/main" objectType="CheckBox" fmlaLink="$F$35" lockText="1"/>
</file>

<file path=xl/ctrlProps/ctrlProp68.xml><?xml version="1.0" encoding="utf-8"?>
<formControlPr xmlns="http://schemas.microsoft.com/office/spreadsheetml/2009/9/main" objectType="CheckBox" fmlaLink="$F$36" lockText="1"/>
</file>

<file path=xl/ctrlProps/ctrlProp69.xml><?xml version="1.0" encoding="utf-8"?>
<formControlPr xmlns="http://schemas.microsoft.com/office/spreadsheetml/2009/9/main" objectType="CheckBox" fmlaLink="$F$37" lockText="1"/>
</file>

<file path=xl/ctrlProps/ctrlProp7.xml><?xml version="1.0" encoding="utf-8"?>
<formControlPr xmlns="http://schemas.microsoft.com/office/spreadsheetml/2009/9/main" objectType="CheckBox" fmlaLink="$D$11" lockText="1"/>
</file>

<file path=xl/ctrlProps/ctrlProp70.xml><?xml version="1.0" encoding="utf-8"?>
<formControlPr xmlns="http://schemas.microsoft.com/office/spreadsheetml/2009/9/main" objectType="CheckBox" fmlaLink="$F$38" lockText="1"/>
</file>

<file path=xl/ctrlProps/ctrlProp71.xml><?xml version="1.0" encoding="utf-8"?>
<formControlPr xmlns="http://schemas.microsoft.com/office/spreadsheetml/2009/9/main" objectType="CheckBox" fmlaLink="$F$40" lockText="1"/>
</file>

<file path=xl/ctrlProps/ctrlProp72.xml><?xml version="1.0" encoding="utf-8"?>
<formControlPr xmlns="http://schemas.microsoft.com/office/spreadsheetml/2009/9/main" objectType="CheckBox" fmlaLink="$F$41" lockText="1"/>
</file>

<file path=xl/ctrlProps/ctrlProp73.xml><?xml version="1.0" encoding="utf-8"?>
<formControlPr xmlns="http://schemas.microsoft.com/office/spreadsheetml/2009/9/main" objectType="CheckBox" fmlaLink="$F$42" lockText="1"/>
</file>

<file path=xl/ctrlProps/ctrlProp74.xml><?xml version="1.0" encoding="utf-8"?>
<formControlPr xmlns="http://schemas.microsoft.com/office/spreadsheetml/2009/9/main" objectType="CheckBox" fmlaLink="$F$43" lockText="1"/>
</file>

<file path=xl/ctrlProps/ctrlProp75.xml><?xml version="1.0" encoding="utf-8"?>
<formControlPr xmlns="http://schemas.microsoft.com/office/spreadsheetml/2009/9/main" objectType="CheckBox" fmlaLink="$F$44" lockText="1"/>
</file>

<file path=xl/ctrlProps/ctrlProp76.xml><?xml version="1.0" encoding="utf-8"?>
<formControlPr xmlns="http://schemas.microsoft.com/office/spreadsheetml/2009/9/main" objectType="CheckBox" fmlaLink="$F$46" lockText="1"/>
</file>

<file path=xl/ctrlProps/ctrlProp77.xml><?xml version="1.0" encoding="utf-8"?>
<formControlPr xmlns="http://schemas.microsoft.com/office/spreadsheetml/2009/9/main" objectType="CheckBox" fmlaLink="$F$47" lockText="1"/>
</file>

<file path=xl/ctrlProps/ctrlProp78.xml><?xml version="1.0" encoding="utf-8"?>
<formControlPr xmlns="http://schemas.microsoft.com/office/spreadsheetml/2009/9/main" objectType="CheckBox" fmlaLink="$F$49" lockText="1"/>
</file>

<file path=xl/ctrlProps/ctrlProp79.xml><?xml version="1.0" encoding="utf-8"?>
<formControlPr xmlns="http://schemas.microsoft.com/office/spreadsheetml/2009/9/main" objectType="CheckBox" fmlaLink="$D$50" lockText="1"/>
</file>

<file path=xl/ctrlProps/ctrlProp8.xml><?xml version="1.0" encoding="utf-8"?>
<formControlPr xmlns="http://schemas.microsoft.com/office/spreadsheetml/2009/9/main" objectType="CheckBox" fmlaLink="$D$12" lockText="1"/>
</file>

<file path=xl/ctrlProps/ctrlProp80.xml><?xml version="1.0" encoding="utf-8"?>
<formControlPr xmlns="http://schemas.microsoft.com/office/spreadsheetml/2009/9/main" objectType="CheckBox" fmlaLink="$D$51" lockText="1"/>
</file>

<file path=xl/ctrlProps/ctrlProp81.xml><?xml version="1.0" encoding="utf-8"?>
<formControlPr xmlns="http://schemas.microsoft.com/office/spreadsheetml/2009/9/main" objectType="CheckBox" fmlaLink="$F$50" lockText="1"/>
</file>

<file path=xl/ctrlProps/ctrlProp82.xml><?xml version="1.0" encoding="utf-8"?>
<formControlPr xmlns="http://schemas.microsoft.com/office/spreadsheetml/2009/9/main" objectType="CheckBox" fmlaLink="$F$51" lockText="1"/>
</file>

<file path=xl/ctrlProps/ctrlProp83.xml><?xml version="1.0" encoding="utf-8"?>
<formControlPr xmlns="http://schemas.microsoft.com/office/spreadsheetml/2009/9/main" objectType="CheckBox" checked="Checked" fmlaLink="$A$5" lockText="1"/>
</file>

<file path=xl/ctrlProps/ctrlProp84.xml><?xml version="1.0" encoding="utf-8"?>
<formControlPr xmlns="http://schemas.microsoft.com/office/spreadsheetml/2009/9/main" objectType="CheckBox" checked="Checked" fmlaLink="$D$20" lockText="1"/>
</file>

<file path=xl/ctrlProps/ctrlProp85.xml><?xml version="1.0" encoding="utf-8"?>
<formControlPr xmlns="http://schemas.microsoft.com/office/spreadsheetml/2009/9/main" objectType="CheckBox" fmlaLink="$F$20" lockText="1"/>
</file>

<file path=xl/ctrlProps/ctrlProp86.xml><?xml version="1.0" encoding="utf-8"?>
<formControlPr xmlns="http://schemas.microsoft.com/office/spreadsheetml/2009/9/main" objectType="CheckBox" fmlaLink="$D$53" lockText="1"/>
</file>

<file path=xl/ctrlProps/ctrlProp87.xml><?xml version="1.0" encoding="utf-8"?>
<formControlPr xmlns="http://schemas.microsoft.com/office/spreadsheetml/2009/9/main" objectType="CheckBox" fmlaLink="$D$54" lockText="1"/>
</file>

<file path=xl/ctrlProps/ctrlProp88.xml><?xml version="1.0" encoding="utf-8"?>
<formControlPr xmlns="http://schemas.microsoft.com/office/spreadsheetml/2009/9/main" objectType="CheckBox" fmlaLink="$D$55" lockText="1"/>
</file>

<file path=xl/ctrlProps/ctrlProp89.xml><?xml version="1.0" encoding="utf-8"?>
<formControlPr xmlns="http://schemas.microsoft.com/office/spreadsheetml/2009/9/main" objectType="CheckBox" fmlaLink="$D$56" lockText="1"/>
</file>

<file path=xl/ctrlProps/ctrlProp9.xml><?xml version="1.0" encoding="utf-8"?>
<formControlPr xmlns="http://schemas.microsoft.com/office/spreadsheetml/2009/9/main" objectType="CheckBox" fmlaLink="$D$13" lockText="1"/>
</file>

<file path=xl/ctrlProps/ctrlProp90.xml><?xml version="1.0" encoding="utf-8"?>
<formControlPr xmlns="http://schemas.microsoft.com/office/spreadsheetml/2009/9/main" objectType="CheckBox" fmlaLink="$F$53" lockText="1"/>
</file>

<file path=xl/ctrlProps/ctrlProp91.xml><?xml version="1.0" encoding="utf-8"?>
<formControlPr xmlns="http://schemas.microsoft.com/office/spreadsheetml/2009/9/main" objectType="CheckBox" fmlaLink="$F$54" lockText="1"/>
</file>

<file path=xl/ctrlProps/ctrlProp92.xml><?xml version="1.0" encoding="utf-8"?>
<formControlPr xmlns="http://schemas.microsoft.com/office/spreadsheetml/2009/9/main" objectType="CheckBox" fmlaLink="$F$55" lockText="1"/>
</file>

<file path=xl/ctrlProps/ctrlProp93.xml><?xml version="1.0" encoding="utf-8"?>
<formControlPr xmlns="http://schemas.microsoft.com/office/spreadsheetml/2009/9/main" objectType="CheckBox" fmlaLink="$F$56" lockText="1"/>
</file>

<file path=xl/ctrlProps/ctrlProp94.xml><?xml version="1.0" encoding="utf-8"?>
<formControlPr xmlns="http://schemas.microsoft.com/office/spreadsheetml/2009/9/main" objectType="CheckBox" checked="Checked" fmlaLink="'1) Wareneinsatz'!$A$5" lockText="1"/>
</file>

<file path=xl/ctrlProps/ctrlProp95.xml><?xml version="1.0" encoding="utf-8"?>
<formControlPr xmlns="http://schemas.microsoft.com/office/spreadsheetml/2009/9/main" objectType="CheckBox" checked="Checked" fmlaLink="'1) Wareneinsatz'!$A$5" lockText="1"/>
</file>

<file path=xl/ctrlProps/ctrlProp96.xml><?xml version="1.0" encoding="utf-8"?>
<formControlPr xmlns="http://schemas.microsoft.com/office/spreadsheetml/2009/9/main" objectType="CheckBox" fmlaLink="'2) Angaben DB'!$D$26" lockText="1"/>
</file>

<file path=xl/ctrlProps/ctrlProp97.xml><?xml version="1.0" encoding="utf-8"?>
<formControlPr xmlns="http://schemas.microsoft.com/office/spreadsheetml/2009/9/main" objectType="CheckBox" fmlaLink="'2) Angaben DB'!$E$26" lockText="1"/>
</file>

<file path=xl/ctrlProps/ctrlProp98.xml><?xml version="1.0" encoding="utf-8"?>
<formControlPr xmlns="http://schemas.microsoft.com/office/spreadsheetml/2009/9/main" objectType="CheckBox" checked="Checked" fmlaLink="'1) Wareneinsatz'!$A$5"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60961</xdr:colOff>
      <xdr:row>21</xdr:row>
      <xdr:rowOff>167641</xdr:rowOff>
    </xdr:from>
    <xdr:to>
      <xdr:col>1</xdr:col>
      <xdr:colOff>594361</xdr:colOff>
      <xdr:row>25</xdr:row>
      <xdr:rowOff>138139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0961" y="4008121"/>
          <a:ext cx="1356360" cy="702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175260</xdr:colOff>
          <xdr:row>2</xdr:row>
          <xdr:rowOff>175260</xdr:rowOff>
        </xdr:from>
        <xdr:to>
          <xdr:col>3</xdr:col>
          <xdr:colOff>441960</xdr:colOff>
          <xdr:row>4</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xdr:row>
          <xdr:rowOff>7620</xdr:rowOff>
        </xdr:from>
        <xdr:to>
          <xdr:col>3</xdr:col>
          <xdr:colOff>373380</xdr:colOff>
          <xdr:row>4</xdr:row>
          <xdr:rowOff>175260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xdr:row>
          <xdr:rowOff>175260</xdr:rowOff>
        </xdr:from>
        <xdr:to>
          <xdr:col>3</xdr:col>
          <xdr:colOff>350520</xdr:colOff>
          <xdr:row>5</xdr:row>
          <xdr:rowOff>175260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6</xdr:row>
          <xdr:rowOff>175260</xdr:rowOff>
        </xdr:from>
        <xdr:to>
          <xdr:col>3</xdr:col>
          <xdr:colOff>350520</xdr:colOff>
          <xdr:row>7</xdr:row>
          <xdr:rowOff>175260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xdr:row>
          <xdr:rowOff>175260</xdr:rowOff>
        </xdr:from>
        <xdr:to>
          <xdr:col>3</xdr:col>
          <xdr:colOff>373380</xdr:colOff>
          <xdr:row>6</xdr:row>
          <xdr:rowOff>175260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7</xdr:row>
          <xdr:rowOff>175260</xdr:rowOff>
        </xdr:from>
        <xdr:to>
          <xdr:col>3</xdr:col>
          <xdr:colOff>350520</xdr:colOff>
          <xdr:row>8</xdr:row>
          <xdr:rowOff>175260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9</xdr:row>
          <xdr:rowOff>175260</xdr:rowOff>
        </xdr:from>
        <xdr:to>
          <xdr:col>3</xdr:col>
          <xdr:colOff>403860</xdr:colOff>
          <xdr:row>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xdr:row>
          <xdr:rowOff>175260</xdr:rowOff>
        </xdr:from>
        <xdr:to>
          <xdr:col>3</xdr:col>
          <xdr:colOff>350520</xdr:colOff>
          <xdr:row>11</xdr:row>
          <xdr:rowOff>175260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xdr:row>
          <xdr:rowOff>175260</xdr:rowOff>
        </xdr:from>
        <xdr:to>
          <xdr:col>3</xdr:col>
          <xdr:colOff>350520</xdr:colOff>
          <xdr:row>12</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12</xdr:row>
          <xdr:rowOff>182880</xdr:rowOff>
        </xdr:from>
        <xdr:to>
          <xdr:col>3</xdr:col>
          <xdr:colOff>350520</xdr:colOff>
          <xdr:row>14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13</xdr:row>
          <xdr:rowOff>175260</xdr:rowOff>
        </xdr:from>
        <xdr:to>
          <xdr:col>3</xdr:col>
          <xdr:colOff>350520</xdr:colOff>
          <xdr:row>14</xdr:row>
          <xdr:rowOff>175260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14</xdr:row>
          <xdr:rowOff>175260</xdr:rowOff>
        </xdr:from>
        <xdr:to>
          <xdr:col>3</xdr:col>
          <xdr:colOff>365760</xdr:colOff>
          <xdr:row>15</xdr:row>
          <xdr:rowOff>175260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17</xdr:row>
          <xdr:rowOff>0</xdr:rowOff>
        </xdr:from>
        <xdr:to>
          <xdr:col>3</xdr:col>
          <xdr:colOff>350520</xdr:colOff>
          <xdr:row>18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17</xdr:row>
          <xdr:rowOff>175260</xdr:rowOff>
        </xdr:from>
        <xdr:to>
          <xdr:col>3</xdr:col>
          <xdr:colOff>350520</xdr:colOff>
          <xdr:row>18</xdr:row>
          <xdr:rowOff>175260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19</xdr:row>
          <xdr:rowOff>182880</xdr:rowOff>
        </xdr:from>
        <xdr:to>
          <xdr:col>3</xdr:col>
          <xdr:colOff>350520</xdr:colOff>
          <xdr:row>21</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20</xdr:row>
          <xdr:rowOff>182880</xdr:rowOff>
        </xdr:from>
        <xdr:to>
          <xdr:col>3</xdr:col>
          <xdr:colOff>350520</xdr:colOff>
          <xdr:row>22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22</xdr:row>
          <xdr:rowOff>7620</xdr:rowOff>
        </xdr:from>
        <xdr:to>
          <xdr:col>3</xdr:col>
          <xdr:colOff>350520</xdr:colOff>
          <xdr:row>23</xdr:row>
          <xdr:rowOff>7620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22</xdr:row>
          <xdr:rowOff>182880</xdr:rowOff>
        </xdr:from>
        <xdr:to>
          <xdr:col>3</xdr:col>
          <xdr:colOff>350520</xdr:colOff>
          <xdr:row>24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24</xdr:row>
          <xdr:rowOff>7620</xdr:rowOff>
        </xdr:from>
        <xdr:to>
          <xdr:col>3</xdr:col>
          <xdr:colOff>350520</xdr:colOff>
          <xdr:row>25</xdr:row>
          <xdr:rowOff>7620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24</xdr:row>
          <xdr:rowOff>175260</xdr:rowOff>
        </xdr:from>
        <xdr:to>
          <xdr:col>3</xdr:col>
          <xdr:colOff>350520</xdr:colOff>
          <xdr:row>25</xdr:row>
          <xdr:rowOff>175260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25</xdr:row>
          <xdr:rowOff>175260</xdr:rowOff>
        </xdr:from>
        <xdr:to>
          <xdr:col>3</xdr:col>
          <xdr:colOff>365760</xdr:colOff>
          <xdr:row>26</xdr:row>
          <xdr:rowOff>175260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26</xdr:row>
          <xdr:rowOff>182880</xdr:rowOff>
        </xdr:from>
        <xdr:to>
          <xdr:col>3</xdr:col>
          <xdr:colOff>350520</xdr:colOff>
          <xdr:row>28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27</xdr:row>
          <xdr:rowOff>175260</xdr:rowOff>
        </xdr:from>
        <xdr:to>
          <xdr:col>3</xdr:col>
          <xdr:colOff>350520</xdr:colOff>
          <xdr:row>28</xdr:row>
          <xdr:rowOff>175260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28</xdr:row>
          <xdr:rowOff>175260</xdr:rowOff>
        </xdr:from>
        <xdr:to>
          <xdr:col>3</xdr:col>
          <xdr:colOff>350520</xdr:colOff>
          <xdr:row>29</xdr:row>
          <xdr:rowOff>175260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34</xdr:row>
          <xdr:rowOff>175260</xdr:rowOff>
        </xdr:from>
        <xdr:to>
          <xdr:col>3</xdr:col>
          <xdr:colOff>350520</xdr:colOff>
          <xdr:row>35</xdr:row>
          <xdr:rowOff>175260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35</xdr:row>
          <xdr:rowOff>175260</xdr:rowOff>
        </xdr:from>
        <xdr:to>
          <xdr:col>3</xdr:col>
          <xdr:colOff>350520</xdr:colOff>
          <xdr:row>36</xdr:row>
          <xdr:rowOff>175260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37</xdr:row>
          <xdr:rowOff>0</xdr:rowOff>
        </xdr:from>
        <xdr:to>
          <xdr:col>3</xdr:col>
          <xdr:colOff>350520</xdr:colOff>
          <xdr:row>38</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38</xdr:row>
          <xdr:rowOff>175260</xdr:rowOff>
        </xdr:from>
        <xdr:to>
          <xdr:col>3</xdr:col>
          <xdr:colOff>350520</xdr:colOff>
          <xdr:row>40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39</xdr:row>
          <xdr:rowOff>175260</xdr:rowOff>
        </xdr:from>
        <xdr:to>
          <xdr:col>3</xdr:col>
          <xdr:colOff>350520</xdr:colOff>
          <xdr:row>40</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41</xdr:row>
          <xdr:rowOff>7620</xdr:rowOff>
        </xdr:from>
        <xdr:to>
          <xdr:col>3</xdr:col>
          <xdr:colOff>350520</xdr:colOff>
          <xdr:row>42</xdr:row>
          <xdr:rowOff>7620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42</xdr:row>
          <xdr:rowOff>0</xdr:rowOff>
        </xdr:from>
        <xdr:to>
          <xdr:col>3</xdr:col>
          <xdr:colOff>350520</xdr:colOff>
          <xdr:row>43</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42</xdr:row>
          <xdr:rowOff>175260</xdr:rowOff>
        </xdr:from>
        <xdr:to>
          <xdr:col>3</xdr:col>
          <xdr:colOff>350520</xdr:colOff>
          <xdr:row>43</xdr:row>
          <xdr:rowOff>175260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44</xdr:row>
          <xdr:rowOff>175260</xdr:rowOff>
        </xdr:from>
        <xdr:to>
          <xdr:col>3</xdr:col>
          <xdr:colOff>350520</xdr:colOff>
          <xdr:row>46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45</xdr:row>
          <xdr:rowOff>175260</xdr:rowOff>
        </xdr:from>
        <xdr:to>
          <xdr:col>3</xdr:col>
          <xdr:colOff>350520</xdr:colOff>
          <xdr:row>46</xdr:row>
          <xdr:rowOff>175260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47</xdr:row>
          <xdr:rowOff>175260</xdr:rowOff>
        </xdr:from>
        <xdr:to>
          <xdr:col>3</xdr:col>
          <xdr:colOff>350520</xdr:colOff>
          <xdr:row>49</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30</xdr:row>
          <xdr:rowOff>0</xdr:rowOff>
        </xdr:from>
        <xdr:to>
          <xdr:col>3</xdr:col>
          <xdr:colOff>350520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31</xdr:row>
          <xdr:rowOff>0</xdr:rowOff>
        </xdr:from>
        <xdr:to>
          <xdr:col>3</xdr:col>
          <xdr:colOff>350520</xdr:colOff>
          <xdr:row>32</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31</xdr:row>
          <xdr:rowOff>182880</xdr:rowOff>
        </xdr:from>
        <xdr:to>
          <xdr:col>3</xdr:col>
          <xdr:colOff>350520</xdr:colOff>
          <xdr:row>33</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33</xdr:row>
          <xdr:rowOff>175260</xdr:rowOff>
        </xdr:from>
        <xdr:to>
          <xdr:col>3</xdr:col>
          <xdr:colOff>350520</xdr:colOff>
          <xdr:row>35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xdr:row>
          <xdr:rowOff>182880</xdr:rowOff>
        </xdr:from>
        <xdr:to>
          <xdr:col>5</xdr:col>
          <xdr:colOff>449580</xdr:colOff>
          <xdr:row>4</xdr:row>
          <xdr:rowOff>30480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xdr:row>
          <xdr:rowOff>175260</xdr:rowOff>
        </xdr:from>
        <xdr:to>
          <xdr:col>5</xdr:col>
          <xdr:colOff>449580</xdr:colOff>
          <xdr:row>5</xdr:row>
          <xdr:rowOff>22860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1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xdr:row>
          <xdr:rowOff>175260</xdr:rowOff>
        </xdr:from>
        <xdr:to>
          <xdr:col>5</xdr:col>
          <xdr:colOff>449580</xdr:colOff>
          <xdr:row>6</xdr:row>
          <xdr:rowOff>22860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1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xdr:row>
          <xdr:rowOff>160020</xdr:rowOff>
        </xdr:from>
        <xdr:to>
          <xdr:col>5</xdr:col>
          <xdr:colOff>449580</xdr:colOff>
          <xdr:row>7</xdr:row>
          <xdr:rowOff>22860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6</xdr:row>
          <xdr:rowOff>160020</xdr:rowOff>
        </xdr:from>
        <xdr:to>
          <xdr:col>5</xdr:col>
          <xdr:colOff>449580</xdr:colOff>
          <xdr:row>8</xdr:row>
          <xdr:rowOff>22860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7</xdr:row>
          <xdr:rowOff>175260</xdr:rowOff>
        </xdr:from>
        <xdr:to>
          <xdr:col>5</xdr:col>
          <xdr:colOff>449580</xdr:colOff>
          <xdr:row>9</xdr:row>
          <xdr:rowOff>22860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9</xdr:row>
          <xdr:rowOff>175260</xdr:rowOff>
        </xdr:from>
        <xdr:to>
          <xdr:col>5</xdr:col>
          <xdr:colOff>449580</xdr:colOff>
          <xdr:row>11</xdr:row>
          <xdr:rowOff>30480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10</xdr:row>
          <xdr:rowOff>160020</xdr:rowOff>
        </xdr:from>
        <xdr:to>
          <xdr:col>5</xdr:col>
          <xdr:colOff>449580</xdr:colOff>
          <xdr:row>12</xdr:row>
          <xdr:rowOff>22860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0</xdr:rowOff>
        </xdr:from>
        <xdr:to>
          <xdr:col>5</xdr:col>
          <xdr:colOff>449580</xdr:colOff>
          <xdr:row>13</xdr:row>
          <xdr:rowOff>45720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12</xdr:row>
          <xdr:rowOff>175260</xdr:rowOff>
        </xdr:from>
        <xdr:to>
          <xdr:col>5</xdr:col>
          <xdr:colOff>449580</xdr:colOff>
          <xdr:row>14</xdr:row>
          <xdr:rowOff>22860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13</xdr:row>
          <xdr:rowOff>175260</xdr:rowOff>
        </xdr:from>
        <xdr:to>
          <xdr:col>5</xdr:col>
          <xdr:colOff>449580</xdr:colOff>
          <xdr:row>15</xdr:row>
          <xdr:rowOff>22860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14</xdr:row>
          <xdr:rowOff>152400</xdr:rowOff>
        </xdr:from>
        <xdr:to>
          <xdr:col>5</xdr:col>
          <xdr:colOff>449580</xdr:colOff>
          <xdr:row>16</xdr:row>
          <xdr:rowOff>7620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1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0</xdr:rowOff>
        </xdr:from>
        <xdr:to>
          <xdr:col>5</xdr:col>
          <xdr:colOff>449580</xdr:colOff>
          <xdr:row>18</xdr:row>
          <xdr:rowOff>45720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1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17</xdr:row>
          <xdr:rowOff>175260</xdr:rowOff>
        </xdr:from>
        <xdr:to>
          <xdr:col>5</xdr:col>
          <xdr:colOff>449580</xdr:colOff>
          <xdr:row>19</xdr:row>
          <xdr:rowOff>22860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1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19</xdr:row>
          <xdr:rowOff>160020</xdr:rowOff>
        </xdr:from>
        <xdr:to>
          <xdr:col>5</xdr:col>
          <xdr:colOff>449580</xdr:colOff>
          <xdr:row>21</xdr:row>
          <xdr:rowOff>7620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1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20</xdr:row>
          <xdr:rowOff>160020</xdr:rowOff>
        </xdr:from>
        <xdr:to>
          <xdr:col>5</xdr:col>
          <xdr:colOff>449580</xdr:colOff>
          <xdr:row>22</xdr:row>
          <xdr:rowOff>22860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1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21</xdr:row>
          <xdr:rowOff>175260</xdr:rowOff>
        </xdr:from>
        <xdr:to>
          <xdr:col>5</xdr:col>
          <xdr:colOff>449580</xdr:colOff>
          <xdr:row>23</xdr:row>
          <xdr:rowOff>22860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1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22</xdr:row>
          <xdr:rowOff>175260</xdr:rowOff>
        </xdr:from>
        <xdr:to>
          <xdr:col>5</xdr:col>
          <xdr:colOff>449580</xdr:colOff>
          <xdr:row>24</xdr:row>
          <xdr:rowOff>22860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1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23</xdr:row>
          <xdr:rowOff>160020</xdr:rowOff>
        </xdr:from>
        <xdr:to>
          <xdr:col>5</xdr:col>
          <xdr:colOff>449580</xdr:colOff>
          <xdr:row>25</xdr:row>
          <xdr:rowOff>22860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1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24</xdr:row>
          <xdr:rowOff>160020</xdr:rowOff>
        </xdr:from>
        <xdr:to>
          <xdr:col>5</xdr:col>
          <xdr:colOff>449580</xdr:colOff>
          <xdr:row>26</xdr:row>
          <xdr:rowOff>22860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1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25</xdr:row>
          <xdr:rowOff>175260</xdr:rowOff>
        </xdr:from>
        <xdr:to>
          <xdr:col>5</xdr:col>
          <xdr:colOff>449580</xdr:colOff>
          <xdr:row>27</xdr:row>
          <xdr:rowOff>22860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1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26</xdr:row>
          <xdr:rowOff>182880</xdr:rowOff>
        </xdr:from>
        <xdr:to>
          <xdr:col>5</xdr:col>
          <xdr:colOff>449580</xdr:colOff>
          <xdr:row>28</xdr:row>
          <xdr:rowOff>30480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1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27</xdr:row>
          <xdr:rowOff>175260</xdr:rowOff>
        </xdr:from>
        <xdr:to>
          <xdr:col>5</xdr:col>
          <xdr:colOff>449580</xdr:colOff>
          <xdr:row>29</xdr:row>
          <xdr:rowOff>22860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1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28</xdr:row>
          <xdr:rowOff>175260</xdr:rowOff>
        </xdr:from>
        <xdr:to>
          <xdr:col>5</xdr:col>
          <xdr:colOff>449580</xdr:colOff>
          <xdr:row>30</xdr:row>
          <xdr:rowOff>22860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1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29</xdr:row>
          <xdr:rowOff>175260</xdr:rowOff>
        </xdr:from>
        <xdr:to>
          <xdr:col>5</xdr:col>
          <xdr:colOff>449580</xdr:colOff>
          <xdr:row>31</xdr:row>
          <xdr:rowOff>22860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1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30</xdr:row>
          <xdr:rowOff>152400</xdr:rowOff>
        </xdr:from>
        <xdr:to>
          <xdr:col>5</xdr:col>
          <xdr:colOff>449580</xdr:colOff>
          <xdr:row>32</xdr:row>
          <xdr:rowOff>7620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1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31</xdr:row>
          <xdr:rowOff>175260</xdr:rowOff>
        </xdr:from>
        <xdr:to>
          <xdr:col>5</xdr:col>
          <xdr:colOff>449580</xdr:colOff>
          <xdr:row>33</xdr:row>
          <xdr:rowOff>22860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1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33</xdr:row>
          <xdr:rowOff>175260</xdr:rowOff>
        </xdr:from>
        <xdr:to>
          <xdr:col>5</xdr:col>
          <xdr:colOff>449580</xdr:colOff>
          <xdr:row>35</xdr:row>
          <xdr:rowOff>30480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1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182880</xdr:rowOff>
        </xdr:from>
        <xdr:to>
          <xdr:col>5</xdr:col>
          <xdr:colOff>449580</xdr:colOff>
          <xdr:row>36</xdr:row>
          <xdr:rowOff>30480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1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35</xdr:row>
          <xdr:rowOff>182880</xdr:rowOff>
        </xdr:from>
        <xdr:to>
          <xdr:col>5</xdr:col>
          <xdr:colOff>449580</xdr:colOff>
          <xdr:row>37</xdr:row>
          <xdr:rowOff>30480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1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36</xdr:row>
          <xdr:rowOff>175260</xdr:rowOff>
        </xdr:from>
        <xdr:to>
          <xdr:col>5</xdr:col>
          <xdr:colOff>449580</xdr:colOff>
          <xdr:row>38</xdr:row>
          <xdr:rowOff>22860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1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38</xdr:row>
          <xdr:rowOff>175260</xdr:rowOff>
        </xdr:from>
        <xdr:to>
          <xdr:col>5</xdr:col>
          <xdr:colOff>449580</xdr:colOff>
          <xdr:row>40</xdr:row>
          <xdr:rowOff>30480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1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39</xdr:row>
          <xdr:rowOff>152400</xdr:rowOff>
        </xdr:from>
        <xdr:to>
          <xdr:col>5</xdr:col>
          <xdr:colOff>449580</xdr:colOff>
          <xdr:row>41</xdr:row>
          <xdr:rowOff>7620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1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40</xdr:row>
          <xdr:rowOff>175260</xdr:rowOff>
        </xdr:from>
        <xdr:to>
          <xdr:col>5</xdr:col>
          <xdr:colOff>449580</xdr:colOff>
          <xdr:row>42</xdr:row>
          <xdr:rowOff>22860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1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41</xdr:row>
          <xdr:rowOff>175260</xdr:rowOff>
        </xdr:from>
        <xdr:to>
          <xdr:col>5</xdr:col>
          <xdr:colOff>449580</xdr:colOff>
          <xdr:row>43</xdr:row>
          <xdr:rowOff>22860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1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175260</xdr:rowOff>
        </xdr:from>
        <xdr:to>
          <xdr:col>5</xdr:col>
          <xdr:colOff>449580</xdr:colOff>
          <xdr:row>44</xdr:row>
          <xdr:rowOff>22860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1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44</xdr:row>
          <xdr:rowOff>182880</xdr:rowOff>
        </xdr:from>
        <xdr:to>
          <xdr:col>5</xdr:col>
          <xdr:colOff>449580</xdr:colOff>
          <xdr:row>46</xdr:row>
          <xdr:rowOff>30480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1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45</xdr:row>
          <xdr:rowOff>175260</xdr:rowOff>
        </xdr:from>
        <xdr:to>
          <xdr:col>5</xdr:col>
          <xdr:colOff>449580</xdr:colOff>
          <xdr:row>47</xdr:row>
          <xdr:rowOff>22860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1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47</xdr:row>
          <xdr:rowOff>175260</xdr:rowOff>
        </xdr:from>
        <xdr:to>
          <xdr:col>5</xdr:col>
          <xdr:colOff>449580</xdr:colOff>
          <xdr:row>49</xdr:row>
          <xdr:rowOff>30480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1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48</xdr:row>
          <xdr:rowOff>160020</xdr:rowOff>
        </xdr:from>
        <xdr:to>
          <xdr:col>3</xdr:col>
          <xdr:colOff>350520</xdr:colOff>
          <xdr:row>49</xdr:row>
          <xdr:rowOff>160020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1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49</xdr:row>
          <xdr:rowOff>152400</xdr:rowOff>
        </xdr:from>
        <xdr:to>
          <xdr:col>3</xdr:col>
          <xdr:colOff>342900</xdr:colOff>
          <xdr:row>50</xdr:row>
          <xdr:rowOff>152400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1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48</xdr:row>
          <xdr:rowOff>175260</xdr:rowOff>
        </xdr:from>
        <xdr:to>
          <xdr:col>5</xdr:col>
          <xdr:colOff>449580</xdr:colOff>
          <xdr:row>50</xdr:row>
          <xdr:rowOff>22860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1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49</xdr:row>
          <xdr:rowOff>160020</xdr:rowOff>
        </xdr:from>
        <xdr:to>
          <xdr:col>5</xdr:col>
          <xdr:colOff>449580</xdr:colOff>
          <xdr:row>51</xdr:row>
          <xdr:rowOff>7620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1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3</xdr:row>
          <xdr:rowOff>175260</xdr:rowOff>
        </xdr:from>
        <xdr:to>
          <xdr:col>0</xdr:col>
          <xdr:colOff>525780</xdr:colOff>
          <xdr:row>5</xdr:row>
          <xdr:rowOff>22860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18</xdr:row>
          <xdr:rowOff>160020</xdr:rowOff>
        </xdr:from>
        <xdr:to>
          <xdr:col>3</xdr:col>
          <xdr:colOff>350520</xdr:colOff>
          <xdr:row>19</xdr:row>
          <xdr:rowOff>160020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18</xdr:row>
          <xdr:rowOff>152400</xdr:rowOff>
        </xdr:from>
        <xdr:to>
          <xdr:col>5</xdr:col>
          <xdr:colOff>449580</xdr:colOff>
          <xdr:row>20</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30480</xdr:colOff>
      <xdr:row>62</xdr:row>
      <xdr:rowOff>38100</xdr:rowOff>
    </xdr:from>
    <xdr:to>
      <xdr:col>2</xdr:col>
      <xdr:colOff>358140</xdr:colOff>
      <xdr:row>66</xdr:row>
      <xdr:rowOff>8598</xdr:rowOff>
    </xdr:to>
    <xdr:pic>
      <xdr:nvPicPr>
        <xdr:cNvPr id="173" name="Grafik 172">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
        <a:stretch>
          <a:fillRect/>
        </a:stretch>
      </xdr:blipFill>
      <xdr:spPr>
        <a:xfrm>
          <a:off x="30480" y="10088880"/>
          <a:ext cx="1356360" cy="7020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175260</xdr:colOff>
          <xdr:row>52</xdr:row>
          <xdr:rowOff>0</xdr:rowOff>
        </xdr:from>
        <xdr:to>
          <xdr:col>3</xdr:col>
          <xdr:colOff>342900</xdr:colOff>
          <xdr:row>53</xdr:row>
          <xdr:rowOff>7620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52</xdr:row>
          <xdr:rowOff>175260</xdr:rowOff>
        </xdr:from>
        <xdr:to>
          <xdr:col>3</xdr:col>
          <xdr:colOff>342900</xdr:colOff>
          <xdr:row>53</xdr:row>
          <xdr:rowOff>175260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53</xdr:row>
          <xdr:rowOff>160020</xdr:rowOff>
        </xdr:from>
        <xdr:to>
          <xdr:col>3</xdr:col>
          <xdr:colOff>342900</xdr:colOff>
          <xdr:row>54</xdr:row>
          <xdr:rowOff>160020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54</xdr:row>
          <xdr:rowOff>152400</xdr:rowOff>
        </xdr:from>
        <xdr:to>
          <xdr:col>3</xdr:col>
          <xdr:colOff>342900</xdr:colOff>
          <xdr:row>55</xdr:row>
          <xdr:rowOff>152400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51</xdr:row>
          <xdr:rowOff>22860</xdr:rowOff>
        </xdr:from>
        <xdr:to>
          <xdr:col>5</xdr:col>
          <xdr:colOff>449580</xdr:colOff>
          <xdr:row>53</xdr:row>
          <xdr:rowOff>22860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52</xdr:row>
          <xdr:rowOff>152400</xdr:rowOff>
        </xdr:from>
        <xdr:to>
          <xdr:col>5</xdr:col>
          <xdr:colOff>449580</xdr:colOff>
          <xdr:row>53</xdr:row>
          <xdr:rowOff>182880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53</xdr:row>
          <xdr:rowOff>137160</xdr:rowOff>
        </xdr:from>
        <xdr:to>
          <xdr:col>5</xdr:col>
          <xdr:colOff>457200</xdr:colOff>
          <xdr:row>54</xdr:row>
          <xdr:rowOff>175260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54</xdr:row>
          <xdr:rowOff>137160</xdr:rowOff>
        </xdr:from>
        <xdr:to>
          <xdr:col>5</xdr:col>
          <xdr:colOff>457200</xdr:colOff>
          <xdr:row>55</xdr:row>
          <xdr:rowOff>160020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297180</xdr:colOff>
          <xdr:row>7</xdr:row>
          <xdr:rowOff>175260</xdr:rowOff>
        </xdr:from>
        <xdr:to>
          <xdr:col>0</xdr:col>
          <xdr:colOff>563880</xdr:colOff>
          <xdr:row>8</xdr:row>
          <xdr:rowOff>190500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99060</xdr:colOff>
      <xdr:row>30</xdr:row>
      <xdr:rowOff>0</xdr:rowOff>
    </xdr:from>
    <xdr:to>
      <xdr:col>1</xdr:col>
      <xdr:colOff>424815</xdr:colOff>
      <xdr:row>34</xdr:row>
      <xdr:rowOff>26670</xdr:rowOff>
    </xdr:to>
    <xdr:pic>
      <xdr:nvPicPr>
        <xdr:cNvPr id="3" name="Bild 1">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99060" y="6172200"/>
          <a:ext cx="1285875" cy="8191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754380</xdr:colOff>
          <xdr:row>2</xdr:row>
          <xdr:rowOff>190500</xdr:rowOff>
        </xdr:from>
        <xdr:to>
          <xdr:col>0</xdr:col>
          <xdr:colOff>1021080</xdr:colOff>
          <xdr:row>4</xdr:row>
          <xdr:rowOff>7620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24</xdr:row>
          <xdr:rowOff>830580</xdr:rowOff>
        </xdr:from>
        <xdr:to>
          <xdr:col>3</xdr:col>
          <xdr:colOff>617220</xdr:colOff>
          <xdr:row>26</xdr:row>
          <xdr:rowOff>22860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883920</xdr:colOff>
          <xdr:row>24</xdr:row>
          <xdr:rowOff>830580</xdr:rowOff>
        </xdr:from>
        <xdr:to>
          <xdr:col>4</xdr:col>
          <xdr:colOff>1150620</xdr:colOff>
          <xdr:row>26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xdr:colOff>
      <xdr:row>32</xdr:row>
      <xdr:rowOff>104775</xdr:rowOff>
    </xdr:from>
    <xdr:to>
      <xdr:col>0</xdr:col>
      <xdr:colOff>1394460</xdr:colOff>
      <xdr:row>36</xdr:row>
      <xdr:rowOff>6692</xdr:rowOff>
    </xdr:to>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38100" y="7772400"/>
          <a:ext cx="1356360" cy="7020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33867</xdr:colOff>
      <xdr:row>31</xdr:row>
      <xdr:rowOff>59266</xdr:rowOff>
    </xdr:from>
    <xdr:to>
      <xdr:col>1</xdr:col>
      <xdr:colOff>1153160</xdr:colOff>
      <xdr:row>35</xdr:row>
      <xdr:rowOff>16218</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33867" y="5503333"/>
          <a:ext cx="1356360" cy="7020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1249680</xdr:colOff>
          <xdr:row>6</xdr:row>
          <xdr:rowOff>137160</xdr:rowOff>
        </xdr:from>
        <xdr:to>
          <xdr:col>1</xdr:col>
          <xdr:colOff>1516380</xdr:colOff>
          <xdr:row>7</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47625</xdr:colOff>
      <xdr:row>159</xdr:row>
      <xdr:rowOff>28575</xdr:rowOff>
    </xdr:from>
    <xdr:to>
      <xdr:col>1</xdr:col>
      <xdr:colOff>1234440</xdr:colOff>
      <xdr:row>163</xdr:row>
      <xdr:rowOff>20029</xdr:rowOff>
    </xdr:to>
    <xdr:pic>
      <xdr:nvPicPr>
        <xdr:cNvPr id="4" name="Grafik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47625" y="31242000"/>
          <a:ext cx="1356360" cy="702018"/>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saller@lfl.bayern.de"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94.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15ACF-F08F-4577-A283-B7248BC8B0ED}">
  <dimension ref="A2:D27"/>
  <sheetViews>
    <sheetView showGridLines="0" zoomScaleNormal="100" workbookViewId="0">
      <selection activeCell="C8" sqref="C8"/>
    </sheetView>
  </sheetViews>
  <sheetFormatPr baseColWidth="10" defaultRowHeight="14.4" x14ac:dyDescent="0.3"/>
  <cols>
    <col min="1" max="1" width="11.88671875" customWidth="1"/>
    <col min="2" max="2" width="11.6640625" customWidth="1"/>
    <col min="3" max="3" width="7.33203125" customWidth="1"/>
  </cols>
  <sheetData>
    <row r="2" spans="1:4" x14ac:dyDescent="0.3">
      <c r="A2" s="25" t="s">
        <v>299</v>
      </c>
    </row>
    <row r="4" spans="1:4" x14ac:dyDescent="0.3">
      <c r="A4" s="452" t="s">
        <v>269</v>
      </c>
      <c r="D4" t="s">
        <v>300</v>
      </c>
    </row>
    <row r="5" spans="1:4" x14ac:dyDescent="0.3">
      <c r="A5" s="452" t="s">
        <v>270</v>
      </c>
      <c r="D5" t="s">
        <v>271</v>
      </c>
    </row>
    <row r="6" spans="1:4" x14ac:dyDescent="0.3">
      <c r="A6" s="452" t="s">
        <v>272</v>
      </c>
      <c r="D6" t="s">
        <v>275</v>
      </c>
    </row>
    <row r="7" spans="1:4" x14ac:dyDescent="0.3">
      <c r="A7" s="452" t="s">
        <v>273</v>
      </c>
      <c r="D7" t="s">
        <v>274</v>
      </c>
    </row>
    <row r="8" spans="1:4" x14ac:dyDescent="0.3">
      <c r="A8" s="452" t="s">
        <v>276</v>
      </c>
      <c r="D8" t="s">
        <v>277</v>
      </c>
    </row>
    <row r="10" spans="1:4" x14ac:dyDescent="0.3">
      <c r="A10" s="453" t="s">
        <v>278</v>
      </c>
    </row>
    <row r="12" spans="1:4" x14ac:dyDescent="0.3">
      <c r="A12" s="456" t="s">
        <v>260</v>
      </c>
    </row>
    <row r="13" spans="1:4" x14ac:dyDescent="0.3">
      <c r="A13" s="455" t="s">
        <v>261</v>
      </c>
    </row>
    <row r="14" spans="1:4" x14ac:dyDescent="0.3">
      <c r="A14" s="453" t="s">
        <v>262</v>
      </c>
    </row>
    <row r="15" spans="1:4" x14ac:dyDescent="0.3">
      <c r="A15" s="453" t="s">
        <v>263</v>
      </c>
    </row>
    <row r="16" spans="1:4" x14ac:dyDescent="0.3">
      <c r="A16" s="453" t="s">
        <v>264</v>
      </c>
    </row>
    <row r="17" spans="1:1" x14ac:dyDescent="0.3">
      <c r="A17" s="453" t="s">
        <v>265</v>
      </c>
    </row>
    <row r="18" spans="1:1" x14ac:dyDescent="0.3">
      <c r="A18" s="453" t="s">
        <v>266</v>
      </c>
    </row>
    <row r="19" spans="1:1" x14ac:dyDescent="0.3">
      <c r="A19" s="453" t="s">
        <v>267</v>
      </c>
    </row>
    <row r="20" spans="1:1" x14ac:dyDescent="0.3">
      <c r="A20" s="454" t="s">
        <v>268</v>
      </c>
    </row>
    <row r="21" spans="1:1" x14ac:dyDescent="0.3">
      <c r="A21" s="454"/>
    </row>
    <row r="22" spans="1:1" x14ac:dyDescent="0.3">
      <c r="A22" s="454"/>
    </row>
    <row r="23" spans="1:1" x14ac:dyDescent="0.3">
      <c r="A23" s="454"/>
    </row>
    <row r="24" spans="1:1" x14ac:dyDescent="0.3">
      <c r="A24" s="454"/>
    </row>
    <row r="25" spans="1:1" x14ac:dyDescent="0.3">
      <c r="A25" s="454"/>
    </row>
    <row r="27" spans="1:1" x14ac:dyDescent="0.3">
      <c r="A27" s="25" t="s">
        <v>303</v>
      </c>
    </row>
  </sheetData>
  <sheetProtection algorithmName="SHA-512" hashValue="2hNdu6VukKKELWK24je01DY/lncaTEibYpPy8Nl8C1km+/g4bWO1I3aEwcRPQrK3QwZwnXRcbmDe5wEMgQGJcA==" saltValue="mWQ4QkEln44KDZSD4SBOFQ==" spinCount="100000" sheet="1" objects="1" scenarios="1"/>
  <hyperlinks>
    <hyperlink ref="A20" r:id="rId1" display="mailto:julia.saller@lfl.bayern.de" xr:uid="{85D859DB-DAD5-4C55-8D80-D02785A913A3}"/>
  </hyperlinks>
  <pageMargins left="0.70866141732283472" right="0.70866141732283472" top="0.78740157480314965" bottom="0.78740157480314965" header="0.31496062992125984" footer="0.31496062992125984"/>
  <pageSetup paperSize="9" orientation="landscape" horizontalDpi="3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pageSetUpPr fitToPage="1"/>
  </sheetPr>
  <dimension ref="A1:S1193"/>
  <sheetViews>
    <sheetView showGridLines="0" zoomScale="90" zoomScaleNormal="90" workbookViewId="0">
      <selection activeCell="D4" sqref="D4"/>
    </sheetView>
  </sheetViews>
  <sheetFormatPr baseColWidth="10" defaultRowHeight="14.4" x14ac:dyDescent="0.3"/>
  <cols>
    <col min="1" max="1" width="12.88671875" customWidth="1"/>
    <col min="2" max="2" width="2.109375" customWidth="1"/>
    <col min="3" max="3" width="32.6640625" customWidth="1"/>
    <col min="4" max="4" width="9.6640625" customWidth="1"/>
    <col min="5" max="5" width="9.6640625" style="8" customWidth="1"/>
    <col min="6" max="6" width="8.6640625" style="8" customWidth="1"/>
    <col min="7" max="7" width="9.6640625" style="8" customWidth="1"/>
    <col min="8" max="8" width="9.88671875" style="486" customWidth="1"/>
    <col min="9" max="9" width="5" bestFit="1" customWidth="1"/>
    <col min="10" max="10" width="5.33203125" customWidth="1"/>
    <col min="11" max="11" width="9.6640625" customWidth="1"/>
    <col min="12" max="12" width="9.5546875" style="3" customWidth="1"/>
    <col min="13" max="13" width="8.6640625" style="3" customWidth="1"/>
    <col min="14" max="14" width="7.6640625" style="3" customWidth="1"/>
    <col min="15" max="15" width="9.109375" style="3" customWidth="1"/>
    <col min="16" max="16" width="6.6640625" style="521" customWidth="1"/>
    <col min="17" max="17" width="5.5546875" customWidth="1"/>
    <col min="18" max="18" width="10.44140625" customWidth="1"/>
    <col min="19" max="19" width="9.33203125" customWidth="1"/>
  </cols>
  <sheetData>
    <row r="1" spans="1:19" ht="30.6" customHeight="1" thickBot="1" x14ac:dyDescent="0.35">
      <c r="D1" s="552" t="str">
        <f>D58</f>
        <v>durchschnittlicher Wareneinsatz Frühstückskorb</v>
      </c>
      <c r="E1" s="553"/>
      <c r="F1" s="553"/>
      <c r="G1" s="309">
        <f>G58</f>
        <v>13.0809</v>
      </c>
      <c r="H1" s="523" t="s">
        <v>295</v>
      </c>
      <c r="I1" s="523" t="s">
        <v>4</v>
      </c>
      <c r="J1" s="524"/>
      <c r="K1" s="534" t="s">
        <v>36</v>
      </c>
      <c r="L1" s="535"/>
      <c r="M1" s="534" t="s">
        <v>35</v>
      </c>
      <c r="N1" s="535"/>
      <c r="O1" s="5"/>
      <c r="P1" s="80"/>
      <c r="Q1" s="80"/>
      <c r="R1" s="543" t="s">
        <v>255</v>
      </c>
      <c r="S1" s="544"/>
    </row>
    <row r="2" spans="1:19" ht="15.6" x14ac:dyDescent="0.3">
      <c r="A2" s="147" t="s">
        <v>208</v>
      </c>
      <c r="C2" s="547" t="s">
        <v>0</v>
      </c>
      <c r="D2" s="549" t="s">
        <v>1</v>
      </c>
      <c r="E2" s="550" t="s">
        <v>78</v>
      </c>
      <c r="F2" s="549" t="s">
        <v>2</v>
      </c>
      <c r="G2" s="550" t="s">
        <v>78</v>
      </c>
      <c r="H2" s="525"/>
      <c r="I2" s="525"/>
      <c r="J2" s="526"/>
      <c r="K2" s="532" t="s">
        <v>1</v>
      </c>
      <c r="L2" s="532" t="s">
        <v>2</v>
      </c>
      <c r="M2" s="537" t="s">
        <v>1</v>
      </c>
      <c r="N2" s="539" t="s">
        <v>2</v>
      </c>
      <c r="O2" s="541" t="s">
        <v>3</v>
      </c>
      <c r="P2" s="529" t="s">
        <v>47</v>
      </c>
      <c r="Q2" s="529"/>
      <c r="R2" s="530" t="s">
        <v>1</v>
      </c>
      <c r="S2" s="530" t="s">
        <v>2</v>
      </c>
    </row>
    <row r="3" spans="1:19" ht="15" thickBot="1" x14ac:dyDescent="0.35">
      <c r="C3" s="548"/>
      <c r="D3" s="533"/>
      <c r="E3" s="551"/>
      <c r="F3" s="533"/>
      <c r="G3" s="551"/>
      <c r="H3" s="527"/>
      <c r="I3" s="527"/>
      <c r="J3" s="528"/>
      <c r="K3" s="533"/>
      <c r="L3" s="533"/>
      <c r="M3" s="538"/>
      <c r="N3" s="540"/>
      <c r="O3" s="542"/>
      <c r="P3" s="536"/>
      <c r="Q3" s="529"/>
      <c r="R3" s="531"/>
      <c r="S3" s="531"/>
    </row>
    <row r="4" spans="1:19" x14ac:dyDescent="0.3">
      <c r="A4" s="18" t="s">
        <v>55</v>
      </c>
      <c r="C4" s="1" t="s">
        <v>5</v>
      </c>
      <c r="D4" s="337" t="b">
        <v>1</v>
      </c>
      <c r="E4" s="8">
        <f>IF(D4, (IF($A$5,K4/1000*I4*H4,M4/1000*I4*H4)), 0)</f>
        <v>0.40679999999999999</v>
      </c>
      <c r="F4" s="339" t="b">
        <v>0</v>
      </c>
      <c r="G4" s="10">
        <f>IF(F4, (IF($A$5,L4/1000*I4*H4,N4/1000*I4*H4)), 0)</f>
        <v>0</v>
      </c>
      <c r="H4" s="491">
        <v>2</v>
      </c>
      <c r="I4" s="340">
        <v>20</v>
      </c>
      <c r="J4" t="s">
        <v>7</v>
      </c>
      <c r="K4" s="375">
        <f>(6.94+13.4)/2</f>
        <v>10.17</v>
      </c>
      <c r="L4" s="374">
        <f>(9.39+23.95)/2</f>
        <v>16.670000000000002</v>
      </c>
      <c r="M4" s="86">
        <f>K4/(1+(P4/100))</f>
        <v>9.5046728971962615</v>
      </c>
      <c r="N4" s="86">
        <f>L4/(1+(P4/100))</f>
        <v>15.579439252336449</v>
      </c>
      <c r="O4" s="3" t="s">
        <v>6</v>
      </c>
      <c r="P4" s="516">
        <v>7</v>
      </c>
      <c r="Q4" s="5"/>
      <c r="R4" s="383">
        <f>(6.94+13.4)/2</f>
        <v>10.17</v>
      </c>
      <c r="S4" s="384">
        <f>(9.39+23.95)/2</f>
        <v>16.670000000000002</v>
      </c>
    </row>
    <row r="5" spans="1:19" x14ac:dyDescent="0.3">
      <c r="A5" s="337" t="b">
        <v>1</v>
      </c>
      <c r="C5" s="2" t="s">
        <v>8</v>
      </c>
      <c r="D5" s="337" t="b">
        <v>1</v>
      </c>
      <c r="E5" s="8">
        <f>IF(D5, (IF($A$5,K5/1000*I5*H5,M5/1000*I5*H5)), 0)</f>
        <v>0.248</v>
      </c>
      <c r="F5" s="339" t="b">
        <v>0</v>
      </c>
      <c r="G5" s="10">
        <f t="shared" ref="G5:G38" si="0">IF(F5, (IF($A$5,L5/1000*I5*H5,N5/1000*I5*H5)), 0)</f>
        <v>0</v>
      </c>
      <c r="H5" s="491">
        <v>2</v>
      </c>
      <c r="I5" s="340">
        <v>100</v>
      </c>
      <c r="J5" t="s">
        <v>51</v>
      </c>
      <c r="K5" s="376">
        <f>(0.99+1.49)/2</f>
        <v>1.24</v>
      </c>
      <c r="L5" s="374">
        <f>(1.13+2.77)/2</f>
        <v>1.95</v>
      </c>
      <c r="M5" s="86">
        <f>K5/(1+(P5/100))</f>
        <v>1.1588785046728971</v>
      </c>
      <c r="N5" s="86">
        <f t="shared" ref="N5:N57" si="1">L5/(1+(P5/100))</f>
        <v>1.8224299065420559</v>
      </c>
      <c r="O5" s="3" t="s">
        <v>9</v>
      </c>
      <c r="P5" s="80">
        <v>7</v>
      </c>
      <c r="Q5" s="5"/>
      <c r="R5" s="385">
        <f>(0.99+1.49)/2</f>
        <v>1.24</v>
      </c>
      <c r="S5" s="384">
        <f>(1.13+2.77)/2</f>
        <v>1.95</v>
      </c>
    </row>
    <row r="6" spans="1:19" x14ac:dyDescent="0.3">
      <c r="A6" s="14" t="b">
        <v>0</v>
      </c>
      <c r="C6" s="4" t="s">
        <v>10</v>
      </c>
      <c r="D6" s="337" t="b">
        <v>1</v>
      </c>
      <c r="E6" s="8">
        <f t="shared" ref="E6:E38" si="2">IF(D6, (IF($A$5,K6/1000*I6*H6,M6/1000*I6*H6)), 0)</f>
        <v>1.8200000000000001E-2</v>
      </c>
      <c r="F6" s="339" t="b">
        <v>0</v>
      </c>
      <c r="G6" s="10">
        <f t="shared" si="0"/>
        <v>0</v>
      </c>
      <c r="H6" s="491">
        <v>2</v>
      </c>
      <c r="I6" s="340">
        <v>10</v>
      </c>
      <c r="J6" t="s">
        <v>7</v>
      </c>
      <c r="K6" s="376">
        <f>(0.7+1.12)/2</f>
        <v>0.91</v>
      </c>
      <c r="L6" s="374">
        <f>(2.76+3.19)/2</f>
        <v>2.9749999999999996</v>
      </c>
      <c r="M6" s="86">
        <f t="shared" ref="M6:M23" si="3">K6/(1+(P6/100))</f>
        <v>0.85046728971962615</v>
      </c>
      <c r="N6" s="86">
        <f t="shared" si="1"/>
        <v>2.7803738317757003</v>
      </c>
      <c r="O6" s="3" t="s">
        <v>6</v>
      </c>
      <c r="P6" s="80">
        <v>7</v>
      </c>
      <c r="Q6" s="5"/>
      <c r="R6" s="385">
        <f>(0.7+1.12)/2</f>
        <v>0.91</v>
      </c>
      <c r="S6" s="384">
        <f>(2.76+2.77)/2</f>
        <v>2.7649999999999997</v>
      </c>
    </row>
    <row r="7" spans="1:19" x14ac:dyDescent="0.3">
      <c r="C7" s="4" t="s">
        <v>11</v>
      </c>
      <c r="D7" s="337" t="b">
        <v>0</v>
      </c>
      <c r="E7" s="8">
        <f t="shared" si="2"/>
        <v>0</v>
      </c>
      <c r="F7" s="339" t="b">
        <v>0</v>
      </c>
      <c r="G7" s="10">
        <f t="shared" si="0"/>
        <v>0</v>
      </c>
      <c r="H7" s="491">
        <v>1</v>
      </c>
      <c r="I7" s="340">
        <v>1</v>
      </c>
      <c r="J7" t="s">
        <v>12</v>
      </c>
      <c r="K7" s="379">
        <f>3/20*1000</f>
        <v>150</v>
      </c>
      <c r="L7" s="457">
        <f>3/20*1000</f>
        <v>150</v>
      </c>
      <c r="M7" s="86">
        <f>K7/(1+(P7/100))</f>
        <v>140.18691588785046</v>
      </c>
      <c r="N7" s="86">
        <f t="shared" si="1"/>
        <v>140.18691588785046</v>
      </c>
      <c r="O7" s="3" t="s">
        <v>54</v>
      </c>
      <c r="P7" s="80">
        <v>7</v>
      </c>
      <c r="R7" s="450">
        <f>3/20*1000</f>
        <v>150</v>
      </c>
      <c r="S7" s="451">
        <f>3/20*1000</f>
        <v>150</v>
      </c>
    </row>
    <row r="8" spans="1:19" x14ac:dyDescent="0.3">
      <c r="C8" s="4" t="s">
        <v>294</v>
      </c>
      <c r="D8" s="337" t="b">
        <v>0</v>
      </c>
      <c r="E8" s="8">
        <f t="shared" si="2"/>
        <v>0</v>
      </c>
      <c r="F8" s="339" t="b">
        <v>0</v>
      </c>
      <c r="G8" s="10">
        <f t="shared" si="0"/>
        <v>0</v>
      </c>
      <c r="H8" s="491">
        <v>1</v>
      </c>
      <c r="I8" s="340">
        <v>250</v>
      </c>
      <c r="J8" t="s">
        <v>51</v>
      </c>
      <c r="K8" s="376">
        <f>K5</f>
        <v>1.24</v>
      </c>
      <c r="L8" s="374">
        <f>L5</f>
        <v>1.95</v>
      </c>
      <c r="M8" s="86">
        <f t="shared" si="3"/>
        <v>1.1588785046728971</v>
      </c>
      <c r="N8" s="86">
        <f t="shared" si="1"/>
        <v>1.8224299065420559</v>
      </c>
      <c r="O8" s="3" t="str">
        <f>O5</f>
        <v>€/l</v>
      </c>
      <c r="P8" s="80">
        <v>7</v>
      </c>
      <c r="R8" s="385">
        <f>R5</f>
        <v>1.24</v>
      </c>
      <c r="S8" s="384">
        <f>S5</f>
        <v>1.95</v>
      </c>
    </row>
    <row r="9" spans="1:19" x14ac:dyDescent="0.3">
      <c r="C9" s="4" t="s">
        <v>46</v>
      </c>
      <c r="D9" s="337" t="b">
        <v>1</v>
      </c>
      <c r="E9" s="8">
        <f t="shared" si="2"/>
        <v>0.25070000000000003</v>
      </c>
      <c r="F9" s="339" t="b">
        <v>0</v>
      </c>
      <c r="G9" s="10">
        <f t="shared" si="0"/>
        <v>0</v>
      </c>
      <c r="H9" s="491">
        <v>2</v>
      </c>
      <c r="I9" s="340">
        <v>10</v>
      </c>
      <c r="J9" t="s">
        <v>7</v>
      </c>
      <c r="K9" s="376">
        <f>(6.89+18.18)/2</f>
        <v>12.535</v>
      </c>
      <c r="L9" s="380">
        <f>(18.73+35.31)/2</f>
        <v>27.020000000000003</v>
      </c>
      <c r="M9" s="86">
        <f t="shared" si="3"/>
        <v>11.714953271028037</v>
      </c>
      <c r="N9" s="86">
        <f t="shared" si="1"/>
        <v>25.252336448598133</v>
      </c>
      <c r="O9" s="3" t="s">
        <v>6</v>
      </c>
      <c r="P9" s="80">
        <v>7</v>
      </c>
      <c r="R9" s="385">
        <f>(6.89+18.18)/2</f>
        <v>12.535</v>
      </c>
      <c r="S9" s="384">
        <f>(18.73+35.31)/2</f>
        <v>27.020000000000003</v>
      </c>
    </row>
    <row r="10" spans="1:19" s="83" customFormat="1" ht="3.6" customHeight="1" x14ac:dyDescent="0.3">
      <c r="C10" s="82"/>
      <c r="D10" s="338" t="b">
        <v>0</v>
      </c>
      <c r="E10" s="8"/>
      <c r="F10" s="338" t="b">
        <v>0</v>
      </c>
      <c r="G10" s="10"/>
      <c r="H10" s="492"/>
      <c r="I10" s="338"/>
      <c r="K10" s="377"/>
      <c r="L10" s="338"/>
      <c r="M10" s="85">
        <f t="shared" si="3"/>
        <v>0</v>
      </c>
      <c r="N10" s="85">
        <f t="shared" si="1"/>
        <v>0</v>
      </c>
      <c r="P10" s="517"/>
      <c r="R10" s="386"/>
      <c r="S10" s="386"/>
    </row>
    <row r="11" spans="1:19" x14ac:dyDescent="0.3">
      <c r="C11" s="3" t="s">
        <v>297</v>
      </c>
      <c r="D11" s="337" t="b">
        <v>0</v>
      </c>
      <c r="E11" s="8">
        <f t="shared" si="2"/>
        <v>0</v>
      </c>
      <c r="F11" s="339" t="b">
        <v>0</v>
      </c>
      <c r="G11" s="10">
        <f t="shared" si="0"/>
        <v>0</v>
      </c>
      <c r="H11" s="491">
        <v>1</v>
      </c>
      <c r="I11" s="340">
        <v>250</v>
      </c>
      <c r="J11" t="s">
        <v>51</v>
      </c>
      <c r="K11" s="376">
        <f>(1.02+1.27)/2</f>
        <v>1.145</v>
      </c>
      <c r="L11" s="374">
        <f>(1.06+1.51)/2</f>
        <v>1.2850000000000001</v>
      </c>
      <c r="M11" s="86">
        <f t="shared" si="3"/>
        <v>0.96218487394957986</v>
      </c>
      <c r="N11" s="86">
        <f t="shared" si="1"/>
        <v>1.0798319327731094</v>
      </c>
      <c r="O11" s="3" t="s">
        <v>9</v>
      </c>
      <c r="P11" s="80">
        <v>19</v>
      </c>
      <c r="R11" s="385">
        <f>(1.02+1.27)/2</f>
        <v>1.145</v>
      </c>
      <c r="S11" s="384">
        <f>(1.06+1.51)/2</f>
        <v>1.2850000000000001</v>
      </c>
    </row>
    <row r="12" spans="1:19" x14ac:dyDescent="0.3">
      <c r="C12" s="3" t="s">
        <v>298</v>
      </c>
      <c r="D12" s="337" t="b">
        <v>0</v>
      </c>
      <c r="E12" s="8">
        <f t="shared" si="2"/>
        <v>0</v>
      </c>
      <c r="F12" s="339" t="b">
        <v>0</v>
      </c>
      <c r="G12" s="10">
        <f t="shared" si="0"/>
        <v>0</v>
      </c>
      <c r="H12" s="491">
        <v>1</v>
      </c>
      <c r="I12" s="340">
        <v>250</v>
      </c>
      <c r="J12" t="s">
        <v>51</v>
      </c>
      <c r="K12" s="376">
        <f>(0.98+1.81)/2</f>
        <v>1.395</v>
      </c>
      <c r="L12" s="374">
        <f>(1.02+2.02)/2</f>
        <v>1.52</v>
      </c>
      <c r="M12" s="86">
        <f t="shared" si="3"/>
        <v>1.1722689075630253</v>
      </c>
      <c r="N12" s="86">
        <f t="shared" si="1"/>
        <v>1.277310924369748</v>
      </c>
      <c r="O12" s="3" t="s">
        <v>9</v>
      </c>
      <c r="P12" s="80">
        <v>19</v>
      </c>
      <c r="R12" s="385">
        <f>(0.98+1.81)/2</f>
        <v>1.395</v>
      </c>
      <c r="S12" s="384">
        <f>(1.02+2.02)/2</f>
        <v>1.52</v>
      </c>
    </row>
    <row r="13" spans="1:19" x14ac:dyDescent="0.3">
      <c r="C13" s="3" t="s">
        <v>34</v>
      </c>
      <c r="D13" s="337" t="b">
        <v>0</v>
      </c>
      <c r="E13" s="8">
        <f t="shared" si="2"/>
        <v>0</v>
      </c>
      <c r="F13" s="339" t="b">
        <v>0</v>
      </c>
      <c r="G13" s="10">
        <f t="shared" si="0"/>
        <v>0</v>
      </c>
      <c r="H13" s="491">
        <v>1</v>
      </c>
      <c r="I13" s="340">
        <v>100</v>
      </c>
      <c r="J13" t="s">
        <v>51</v>
      </c>
      <c r="K13" s="376">
        <f>(4.45+12.85)/2</f>
        <v>8.65</v>
      </c>
      <c r="L13" s="374">
        <f>(9.97+15.41)/2</f>
        <v>12.690000000000001</v>
      </c>
      <c r="M13" s="86">
        <f t="shared" si="3"/>
        <v>7.2689075630252109</v>
      </c>
      <c r="N13" s="86">
        <f t="shared" si="1"/>
        <v>10.663865546218489</v>
      </c>
      <c r="O13" s="3" t="s">
        <v>9</v>
      </c>
      <c r="P13" s="80">
        <v>19</v>
      </c>
      <c r="R13" s="385">
        <f>(4.75+12.85)/2</f>
        <v>8.8000000000000007</v>
      </c>
      <c r="S13" s="384">
        <f>(9.97+15.41)/2</f>
        <v>12.690000000000001</v>
      </c>
    </row>
    <row r="14" spans="1:19" x14ac:dyDescent="0.3">
      <c r="C14" s="4" t="s">
        <v>37</v>
      </c>
      <c r="D14" s="337" t="b">
        <v>0</v>
      </c>
      <c r="E14" s="8">
        <f t="shared" si="2"/>
        <v>0</v>
      </c>
      <c r="F14" s="339" t="b">
        <v>0</v>
      </c>
      <c r="G14" s="10">
        <f t="shared" si="0"/>
        <v>0</v>
      </c>
      <c r="H14" s="491">
        <v>1</v>
      </c>
      <c r="I14" s="340">
        <v>250</v>
      </c>
      <c r="J14" t="s">
        <v>51</v>
      </c>
      <c r="K14" s="376">
        <f>(0.89+1.62)/2</f>
        <v>1.2550000000000001</v>
      </c>
      <c r="L14" s="458">
        <f>(1.97+6.03)/2</f>
        <v>4</v>
      </c>
      <c r="M14" s="86">
        <f t="shared" si="3"/>
        <v>1.054621848739496</v>
      </c>
      <c r="N14" s="86">
        <f>L14/(1+(P14/100))</f>
        <v>3.3613445378151261</v>
      </c>
      <c r="O14" s="3" t="s">
        <v>9</v>
      </c>
      <c r="P14" s="80">
        <v>19</v>
      </c>
      <c r="R14" s="385">
        <f>(0.93+1.7)/2</f>
        <v>1.3149999999999999</v>
      </c>
      <c r="S14" s="384">
        <f>(1.97+6.03)/2</f>
        <v>4</v>
      </c>
    </row>
    <row r="15" spans="1:19" x14ac:dyDescent="0.3">
      <c r="C15" s="4" t="s">
        <v>38</v>
      </c>
      <c r="D15" s="337" t="b">
        <v>0</v>
      </c>
      <c r="E15" s="8">
        <f t="shared" si="2"/>
        <v>0</v>
      </c>
      <c r="F15" s="339" t="b">
        <v>0</v>
      </c>
      <c r="G15" s="10">
        <f t="shared" si="0"/>
        <v>0</v>
      </c>
      <c r="H15" s="491">
        <v>3</v>
      </c>
      <c r="I15" s="340">
        <v>250</v>
      </c>
      <c r="J15" t="s">
        <v>51</v>
      </c>
      <c r="K15" s="376">
        <f>(0.95+2.16)/2</f>
        <v>1.5550000000000002</v>
      </c>
      <c r="L15" s="380">
        <f>(1.92+6.4)/2</f>
        <v>4.16</v>
      </c>
      <c r="M15" s="86">
        <f t="shared" si="3"/>
        <v>1.3067226890756305</v>
      </c>
      <c r="N15" s="86">
        <f t="shared" ref="N15:N16" si="4">L15/(1+(P15/100))</f>
        <v>3.4957983193277316</v>
      </c>
      <c r="O15" s="3" t="s">
        <v>9</v>
      </c>
      <c r="P15" s="80">
        <v>19</v>
      </c>
      <c r="R15" s="385">
        <f>(0.95+2.16)/2</f>
        <v>1.5550000000000002</v>
      </c>
      <c r="S15" s="384">
        <f>(1.92+6.4)/2</f>
        <v>4.16</v>
      </c>
    </row>
    <row r="16" spans="1:19" x14ac:dyDescent="0.3">
      <c r="C16" s="4" t="s">
        <v>39</v>
      </c>
      <c r="D16" s="337" t="b">
        <v>1</v>
      </c>
      <c r="E16" s="8">
        <f t="shared" si="2"/>
        <v>0.61250000000000004</v>
      </c>
      <c r="F16" s="339" t="b">
        <v>0</v>
      </c>
      <c r="G16" s="10">
        <f t="shared" si="0"/>
        <v>0</v>
      </c>
      <c r="H16" s="491">
        <v>2</v>
      </c>
      <c r="I16" s="340">
        <v>250</v>
      </c>
      <c r="J16" t="s">
        <v>51</v>
      </c>
      <c r="K16" s="376">
        <f>(0.62+1.83)/2</f>
        <v>1.2250000000000001</v>
      </c>
      <c r="L16" s="374">
        <f>(1.59+2.55)/2</f>
        <v>2.0699999999999998</v>
      </c>
      <c r="M16" s="86">
        <f t="shared" si="3"/>
        <v>1.0294117647058825</v>
      </c>
      <c r="N16" s="86">
        <f t="shared" si="4"/>
        <v>1.7394957983193278</v>
      </c>
      <c r="O16" s="3" t="s">
        <v>9</v>
      </c>
      <c r="P16" s="80">
        <v>19</v>
      </c>
      <c r="R16" s="385">
        <f>(0.62+1.83)/2</f>
        <v>1.2250000000000001</v>
      </c>
      <c r="S16" s="384">
        <f>(1.59+2.55)/2</f>
        <v>2.0699999999999998</v>
      </c>
    </row>
    <row r="17" spans="3:19" s="370" customFormat="1" ht="4.95" customHeight="1" x14ac:dyDescent="0.3">
      <c r="C17" s="367"/>
      <c r="D17" s="368"/>
      <c r="E17" s="8"/>
      <c r="F17" s="368"/>
      <c r="G17" s="10"/>
      <c r="H17" s="493"/>
      <c r="I17" s="369"/>
      <c r="K17" s="378"/>
      <c r="L17" s="369"/>
      <c r="M17" s="371"/>
      <c r="N17" s="371"/>
      <c r="P17" s="518"/>
      <c r="R17" s="387"/>
      <c r="S17" s="387"/>
    </row>
    <row r="18" spans="3:19" x14ac:dyDescent="0.3">
      <c r="C18" s="4" t="s">
        <v>13</v>
      </c>
      <c r="D18" s="337" t="b">
        <v>1</v>
      </c>
      <c r="E18" s="8">
        <f>IF(D18, (IF($A$5,K18*I18*H18,M18*I18*H18)), 0)</f>
        <v>0.59</v>
      </c>
      <c r="F18" s="339" t="b">
        <v>0</v>
      </c>
      <c r="G18" s="10">
        <f>IF(F18, (IF($A$5,L18*I18*H18,N18*I18*H18)), 0)</f>
        <v>0</v>
      </c>
      <c r="H18" s="491">
        <v>2</v>
      </c>
      <c r="I18" s="340">
        <v>1</v>
      </c>
      <c r="J18" t="s">
        <v>15</v>
      </c>
      <c r="K18" s="376">
        <f>(0.18+0.41)/2</f>
        <v>0.29499999999999998</v>
      </c>
      <c r="L18" s="374">
        <f>(0.37+0.51)/2</f>
        <v>0.44</v>
      </c>
      <c r="M18" s="86">
        <f t="shared" si="3"/>
        <v>0.27570093457943923</v>
      </c>
      <c r="N18" s="86">
        <f t="shared" si="1"/>
        <v>0.41121495327102803</v>
      </c>
      <c r="O18" s="3" t="s">
        <v>14</v>
      </c>
      <c r="P18" s="80">
        <v>7</v>
      </c>
      <c r="R18" s="385">
        <f>(0.18+0.415)/2</f>
        <v>0.29749999999999999</v>
      </c>
      <c r="S18" s="384">
        <f>(0.37+0.51)/2</f>
        <v>0.44</v>
      </c>
    </row>
    <row r="19" spans="3:19" x14ac:dyDescent="0.3">
      <c r="C19" s="4" t="s">
        <v>16</v>
      </c>
      <c r="D19" s="337" t="b">
        <v>1</v>
      </c>
      <c r="E19" s="8">
        <f>IF(D19, (IF($A$5,K19*I19*H19,M19*I19*H19)), 0)</f>
        <v>1.0899999999999999</v>
      </c>
      <c r="F19" s="339" t="b">
        <v>0</v>
      </c>
      <c r="G19" s="10">
        <f t="shared" ref="G19:G21" si="5">IF(F19, (IF($A$5,L19*I19*H19,N19*I19*H19)), 0)</f>
        <v>0</v>
      </c>
      <c r="H19" s="491">
        <v>2</v>
      </c>
      <c r="I19" s="340">
        <v>1</v>
      </c>
      <c r="J19" t="s">
        <v>15</v>
      </c>
      <c r="K19" s="376">
        <f>(0.39+0.7)/2</f>
        <v>0.54499999999999993</v>
      </c>
      <c r="L19" s="374">
        <f>(0.8+0.86)/2</f>
        <v>0.83000000000000007</v>
      </c>
      <c r="M19" s="86">
        <f t="shared" si="3"/>
        <v>0.50934579439252325</v>
      </c>
      <c r="N19" s="86">
        <f t="shared" si="1"/>
        <v>0.77570093457943923</v>
      </c>
      <c r="O19" s="3" t="s">
        <v>14</v>
      </c>
      <c r="P19" s="80">
        <v>7</v>
      </c>
      <c r="R19" s="385">
        <f>(0.39+0.7)/2</f>
        <v>0.54499999999999993</v>
      </c>
      <c r="S19" s="384">
        <f>(0.8+0.86)/2</f>
        <v>0.83000000000000007</v>
      </c>
    </row>
    <row r="20" spans="3:19" x14ac:dyDescent="0.3">
      <c r="C20" s="4" t="s">
        <v>258</v>
      </c>
      <c r="D20" s="337" t="b">
        <v>1</v>
      </c>
      <c r="E20" s="8">
        <f>IF(D20, (IF($A$5,K20*I20*H20,M20*I20*H20)), 0)</f>
        <v>0.57999999999999996</v>
      </c>
      <c r="F20" s="339" t="b">
        <v>0</v>
      </c>
      <c r="G20" s="10">
        <f t="shared" si="5"/>
        <v>0</v>
      </c>
      <c r="H20" s="491">
        <v>1</v>
      </c>
      <c r="I20" s="340">
        <v>1</v>
      </c>
      <c r="J20" t="s">
        <v>15</v>
      </c>
      <c r="K20" s="376">
        <f>(0.34+0.82)/2</f>
        <v>0.57999999999999996</v>
      </c>
      <c r="L20" s="374">
        <f>(0.94+1.04)/2</f>
        <v>0.99</v>
      </c>
      <c r="M20" s="86">
        <f t="shared" si="3"/>
        <v>0.54205607476635509</v>
      </c>
      <c r="N20" s="86">
        <f t="shared" si="1"/>
        <v>0.92523364485981308</v>
      </c>
      <c r="O20" s="3" t="s">
        <v>14</v>
      </c>
      <c r="P20" s="519">
        <v>7</v>
      </c>
      <c r="R20" s="385">
        <f>(0.34+0.82)/2</f>
        <v>0.57999999999999996</v>
      </c>
      <c r="S20" s="384">
        <f>(0.94+1.04)/2</f>
        <v>0.99</v>
      </c>
    </row>
    <row r="21" spans="3:19" x14ac:dyDescent="0.3">
      <c r="C21" s="4" t="s">
        <v>31</v>
      </c>
      <c r="D21" s="337" t="b">
        <v>0</v>
      </c>
      <c r="E21" s="8">
        <f>IF(D21, (IF($A$5,K21*I21*H21,M21*I21*H21)), 0)</f>
        <v>0</v>
      </c>
      <c r="F21" s="339" t="b">
        <v>0</v>
      </c>
      <c r="G21" s="10">
        <f t="shared" si="5"/>
        <v>0</v>
      </c>
      <c r="H21" s="491">
        <v>2</v>
      </c>
      <c r="I21" s="340">
        <v>1</v>
      </c>
      <c r="J21" s="5" t="s">
        <v>15</v>
      </c>
      <c r="K21" s="376">
        <f>(0.62+0.79)/2</f>
        <v>0.70500000000000007</v>
      </c>
      <c r="L21" s="374">
        <f>(0.84+1.47)/2</f>
        <v>1.155</v>
      </c>
      <c r="M21" s="86">
        <f t="shared" si="3"/>
        <v>0.65887850467289721</v>
      </c>
      <c r="N21" s="86">
        <f t="shared" si="1"/>
        <v>1.0794392523364487</v>
      </c>
      <c r="O21" s="3" t="s">
        <v>14</v>
      </c>
      <c r="P21" s="80">
        <v>7</v>
      </c>
      <c r="R21" s="385">
        <f>(0.62+0.79)/2</f>
        <v>0.70500000000000007</v>
      </c>
      <c r="S21" s="384">
        <f>(0.84+1.47)/2</f>
        <v>1.155</v>
      </c>
    </row>
    <row r="22" spans="3:19" x14ac:dyDescent="0.3">
      <c r="C22" s="4" t="s">
        <v>17</v>
      </c>
      <c r="D22" s="337" t="b">
        <v>0</v>
      </c>
      <c r="E22" s="8">
        <f t="shared" si="2"/>
        <v>0</v>
      </c>
      <c r="F22" s="339" t="b">
        <v>0</v>
      </c>
      <c r="G22" s="10">
        <f t="shared" si="0"/>
        <v>0</v>
      </c>
      <c r="H22" s="491">
        <v>1</v>
      </c>
      <c r="I22" s="340">
        <v>60</v>
      </c>
      <c r="J22" t="s">
        <v>7</v>
      </c>
      <c r="K22" s="376">
        <f>(3.04+3.39)/2</f>
        <v>3.2149999999999999</v>
      </c>
      <c r="L22" s="374">
        <f>(5.19+6.63)/2</f>
        <v>5.91</v>
      </c>
      <c r="M22" s="86">
        <f t="shared" si="3"/>
        <v>3.0046728971962615</v>
      </c>
      <c r="N22" s="86">
        <f t="shared" ref="N22:N33" si="6">L22/(1+(P22/100))</f>
        <v>5.5233644859813085</v>
      </c>
      <c r="O22" s="3" t="s">
        <v>6</v>
      </c>
      <c r="P22" s="80">
        <v>7</v>
      </c>
      <c r="R22" s="385">
        <f>(3.04+3.39)/2</f>
        <v>3.2149999999999999</v>
      </c>
      <c r="S22" s="384">
        <f>(5.19+6.63)/2</f>
        <v>5.91</v>
      </c>
    </row>
    <row r="23" spans="3:19" x14ac:dyDescent="0.3">
      <c r="C23" s="4" t="s">
        <v>18</v>
      </c>
      <c r="D23" s="337" t="b">
        <v>0</v>
      </c>
      <c r="E23" s="8">
        <f t="shared" si="2"/>
        <v>0</v>
      </c>
      <c r="F23" s="339" t="b">
        <v>0</v>
      </c>
      <c r="G23" s="10">
        <f t="shared" si="0"/>
        <v>0</v>
      </c>
      <c r="H23" s="491">
        <v>1</v>
      </c>
      <c r="I23" s="340">
        <v>60</v>
      </c>
      <c r="J23" t="s">
        <v>7</v>
      </c>
      <c r="K23" s="376">
        <f>(2.08+4.68)/2</f>
        <v>3.38</v>
      </c>
      <c r="L23" s="374">
        <f>(5.21+7.26)/2</f>
        <v>6.2349999999999994</v>
      </c>
      <c r="M23" s="86">
        <f t="shared" si="3"/>
        <v>3.1588785046728969</v>
      </c>
      <c r="N23" s="86">
        <f t="shared" si="6"/>
        <v>5.8271028037383168</v>
      </c>
      <c r="O23" s="3" t="s">
        <v>6</v>
      </c>
      <c r="P23" s="80">
        <v>7</v>
      </c>
      <c r="R23" s="385">
        <f>(2.08+4.68)/2</f>
        <v>3.38</v>
      </c>
      <c r="S23" s="384">
        <f>(5.21+7.26)/2</f>
        <v>6.2349999999999994</v>
      </c>
    </row>
    <row r="24" spans="3:19" x14ac:dyDescent="0.3">
      <c r="C24" s="4" t="s">
        <v>19</v>
      </c>
      <c r="D24" s="337" t="b">
        <v>1</v>
      </c>
      <c r="E24" s="8">
        <f t="shared" si="2"/>
        <v>0.94599999999999995</v>
      </c>
      <c r="F24" s="339" t="b">
        <v>0</v>
      </c>
      <c r="G24" s="10">
        <f t="shared" si="0"/>
        <v>0</v>
      </c>
      <c r="H24" s="491">
        <v>4</v>
      </c>
      <c r="I24" s="340">
        <v>20</v>
      </c>
      <c r="J24" t="s">
        <v>7</v>
      </c>
      <c r="K24" s="376">
        <f>(7.88+15.77)/2</f>
        <v>11.824999999999999</v>
      </c>
      <c r="L24" s="374">
        <f>(10.08+13.24)/2</f>
        <v>11.66</v>
      </c>
      <c r="M24" s="86">
        <f t="shared" ref="M24:M33" si="7">K24/(1+(P24/100))</f>
        <v>11.051401869158877</v>
      </c>
      <c r="N24" s="86">
        <f t="shared" si="6"/>
        <v>10.897196261682243</v>
      </c>
      <c r="O24" s="3" t="s">
        <v>6</v>
      </c>
      <c r="P24" s="80">
        <v>7</v>
      </c>
      <c r="R24" s="385">
        <f>(7.88+15.77)/2</f>
        <v>11.824999999999999</v>
      </c>
      <c r="S24" s="384">
        <f>(10.08+13.24)/2</f>
        <v>11.66</v>
      </c>
    </row>
    <row r="25" spans="3:19" x14ac:dyDescent="0.3">
      <c r="C25" s="4" t="s">
        <v>206</v>
      </c>
      <c r="D25" s="337" t="b">
        <v>1</v>
      </c>
      <c r="E25" s="8">
        <f t="shared" si="2"/>
        <v>0.65249999999999997</v>
      </c>
      <c r="F25" s="339" t="b">
        <v>0</v>
      </c>
      <c r="G25" s="10">
        <f t="shared" si="0"/>
        <v>0</v>
      </c>
      <c r="H25" s="491">
        <v>2</v>
      </c>
      <c r="I25" s="340">
        <v>30</v>
      </c>
      <c r="J25" t="s">
        <v>7</v>
      </c>
      <c r="K25" s="376">
        <f>(3.55+18.2)/2</f>
        <v>10.875</v>
      </c>
      <c r="L25" s="374">
        <f>(11.94+31.46)/2</f>
        <v>21.7</v>
      </c>
      <c r="M25" s="86">
        <f t="shared" si="7"/>
        <v>10.163551401869158</v>
      </c>
      <c r="N25" s="86">
        <f t="shared" si="6"/>
        <v>20.280373831775698</v>
      </c>
      <c r="O25" s="3" t="s">
        <v>6</v>
      </c>
      <c r="P25" s="80">
        <v>7</v>
      </c>
      <c r="R25" s="385">
        <f>(3.55+18.2)/2</f>
        <v>10.875</v>
      </c>
      <c r="S25" s="384">
        <f>(11.94+31.46)/2</f>
        <v>21.7</v>
      </c>
    </row>
    <row r="26" spans="3:19" x14ac:dyDescent="0.3">
      <c r="C26" s="4" t="s">
        <v>20</v>
      </c>
      <c r="D26" s="337" t="b">
        <v>0</v>
      </c>
      <c r="E26" s="8">
        <f t="shared" si="2"/>
        <v>0</v>
      </c>
      <c r="F26" s="339" t="b">
        <v>0</v>
      </c>
      <c r="G26" s="10">
        <f t="shared" si="0"/>
        <v>0</v>
      </c>
      <c r="H26" s="491">
        <v>1</v>
      </c>
      <c r="I26" s="340">
        <v>30</v>
      </c>
      <c r="J26" t="s">
        <v>7</v>
      </c>
      <c r="K26" s="376">
        <f>(7.35+19.19)/2</f>
        <v>13.27</v>
      </c>
      <c r="L26" s="374">
        <f>(7.298+25.29)/2</f>
        <v>16.294</v>
      </c>
      <c r="M26" s="86">
        <f t="shared" si="7"/>
        <v>12.401869158878503</v>
      </c>
      <c r="N26" s="86">
        <f t="shared" si="6"/>
        <v>15.22803738317757</v>
      </c>
      <c r="O26" s="3" t="s">
        <v>6</v>
      </c>
      <c r="P26" s="80">
        <v>7</v>
      </c>
      <c r="R26" s="385">
        <f>(7.35+19.19)/2</f>
        <v>13.27</v>
      </c>
      <c r="S26" s="384">
        <f>(7.8+25.29)/2</f>
        <v>16.544999999999998</v>
      </c>
    </row>
    <row r="27" spans="3:19" x14ac:dyDescent="0.3">
      <c r="C27" s="4" t="s">
        <v>21</v>
      </c>
      <c r="D27" s="337" t="b">
        <v>0</v>
      </c>
      <c r="E27" s="8">
        <f t="shared" si="2"/>
        <v>0</v>
      </c>
      <c r="F27" s="339" t="b">
        <v>0</v>
      </c>
      <c r="G27" s="10">
        <f t="shared" si="0"/>
        <v>0</v>
      </c>
      <c r="H27" s="491">
        <v>1</v>
      </c>
      <c r="I27" s="340">
        <v>40</v>
      </c>
      <c r="J27" t="s">
        <v>7</v>
      </c>
      <c r="K27" s="376">
        <f>(7.06+7.45)/2</f>
        <v>7.2549999999999999</v>
      </c>
      <c r="L27" s="374">
        <f>(7.99+17.33)/2</f>
        <v>12.66</v>
      </c>
      <c r="M27" s="86">
        <f t="shared" si="7"/>
        <v>6.7803738317757007</v>
      </c>
      <c r="N27" s="86">
        <f t="shared" si="6"/>
        <v>11.831775700934578</v>
      </c>
      <c r="O27" s="3" t="s">
        <v>6</v>
      </c>
      <c r="P27" s="80">
        <v>7</v>
      </c>
      <c r="R27" s="385">
        <f>(7.06+7.45)/2</f>
        <v>7.2549999999999999</v>
      </c>
      <c r="S27" s="384">
        <f>(7.99+17.33)/2</f>
        <v>12.66</v>
      </c>
    </row>
    <row r="28" spans="3:19" x14ac:dyDescent="0.3">
      <c r="C28" s="4" t="s">
        <v>28</v>
      </c>
      <c r="D28" s="337" t="b">
        <v>0</v>
      </c>
      <c r="E28" s="8">
        <f t="shared" si="2"/>
        <v>0</v>
      </c>
      <c r="F28" s="339" t="b">
        <v>0</v>
      </c>
      <c r="G28" s="10">
        <f t="shared" si="0"/>
        <v>0</v>
      </c>
      <c r="H28" s="491">
        <v>1</v>
      </c>
      <c r="I28" s="340">
        <v>30</v>
      </c>
      <c r="J28" t="s">
        <v>7</v>
      </c>
      <c r="K28" s="376">
        <f>(3.71+7.66)/2</f>
        <v>5.6850000000000005</v>
      </c>
      <c r="L28" s="374">
        <f>(5.61+8.36)/2</f>
        <v>6.9849999999999994</v>
      </c>
      <c r="M28" s="86">
        <f t="shared" si="7"/>
        <v>5.3130841121495331</v>
      </c>
      <c r="N28" s="86">
        <f t="shared" si="6"/>
        <v>6.5280373831775691</v>
      </c>
      <c r="O28" s="3" t="s">
        <v>6</v>
      </c>
      <c r="P28" s="80">
        <v>7</v>
      </c>
      <c r="R28" s="385">
        <f>(3.71+7.66)/2</f>
        <v>5.6850000000000005</v>
      </c>
      <c r="S28" s="384">
        <f>(5.61+8.36)/2</f>
        <v>6.9849999999999994</v>
      </c>
    </row>
    <row r="29" spans="3:19" x14ac:dyDescent="0.3">
      <c r="C29" s="4" t="s">
        <v>40</v>
      </c>
      <c r="D29" s="337" t="b">
        <v>0</v>
      </c>
      <c r="E29" s="8">
        <f t="shared" si="2"/>
        <v>0</v>
      </c>
      <c r="F29" s="339" t="b">
        <v>0</v>
      </c>
      <c r="G29" s="10">
        <f t="shared" si="0"/>
        <v>0</v>
      </c>
      <c r="H29" s="491">
        <v>1</v>
      </c>
      <c r="I29" s="340">
        <v>30</v>
      </c>
      <c r="J29" t="s">
        <v>7</v>
      </c>
      <c r="K29" s="376">
        <f>(10.24+13.69)/2</f>
        <v>11.965</v>
      </c>
      <c r="L29" s="374">
        <f>(14.07+25.53)/2</f>
        <v>19.8</v>
      </c>
      <c r="M29" s="86">
        <f t="shared" si="7"/>
        <v>11.182242990654204</v>
      </c>
      <c r="N29" s="86">
        <f t="shared" si="6"/>
        <v>18.504672897196262</v>
      </c>
      <c r="O29" s="3" t="s">
        <v>6</v>
      </c>
      <c r="P29" s="80">
        <v>7</v>
      </c>
      <c r="R29" s="385">
        <f>(10.24+13.69)/2</f>
        <v>11.965</v>
      </c>
      <c r="S29" s="384">
        <f>(14.07+25.53)/2</f>
        <v>19.8</v>
      </c>
    </row>
    <row r="30" spans="3:19" x14ac:dyDescent="0.3">
      <c r="C30" s="4" t="s">
        <v>22</v>
      </c>
      <c r="D30" s="337" t="b">
        <v>1</v>
      </c>
      <c r="E30" s="8">
        <f t="shared" si="2"/>
        <v>1.0205</v>
      </c>
      <c r="F30" s="339" t="b">
        <v>0</v>
      </c>
      <c r="G30" s="10">
        <f t="shared" si="0"/>
        <v>0</v>
      </c>
      <c r="H30" s="491">
        <v>2</v>
      </c>
      <c r="I30" s="340">
        <v>50</v>
      </c>
      <c r="J30" t="s">
        <v>7</v>
      </c>
      <c r="K30" s="376">
        <f>(7.62+12.79)/2</f>
        <v>10.205</v>
      </c>
      <c r="L30" s="374">
        <f>(11.21+21.3)/2</f>
        <v>16.255000000000003</v>
      </c>
      <c r="M30" s="86">
        <f t="shared" si="7"/>
        <v>9.5373831775700921</v>
      </c>
      <c r="N30" s="86">
        <f t="shared" si="6"/>
        <v>15.191588785046731</v>
      </c>
      <c r="O30" s="3" t="s">
        <v>6</v>
      </c>
      <c r="P30" s="80">
        <v>7</v>
      </c>
      <c r="R30" s="385">
        <f>(7.62+12.79)/2</f>
        <v>10.205</v>
      </c>
      <c r="S30" s="384">
        <f>(11.21+21.3)/2</f>
        <v>16.255000000000003</v>
      </c>
    </row>
    <row r="31" spans="3:19" x14ac:dyDescent="0.3">
      <c r="C31" s="4" t="s">
        <v>23</v>
      </c>
      <c r="D31" s="337" t="b">
        <v>1</v>
      </c>
      <c r="E31" s="8">
        <f t="shared" si="2"/>
        <v>1.6175000000000002</v>
      </c>
      <c r="F31" s="339" t="b">
        <v>0</v>
      </c>
      <c r="G31" s="10">
        <f t="shared" si="0"/>
        <v>0</v>
      </c>
      <c r="H31" s="491">
        <v>2</v>
      </c>
      <c r="I31" s="340">
        <v>50</v>
      </c>
      <c r="J31" t="s">
        <v>7</v>
      </c>
      <c r="K31" s="376">
        <f>(10.32+22.03)/2</f>
        <v>16.175000000000001</v>
      </c>
      <c r="L31" s="374">
        <f>(33.12+48.84)/2</f>
        <v>40.980000000000004</v>
      </c>
      <c r="M31" s="86">
        <f t="shared" si="7"/>
        <v>15.116822429906541</v>
      </c>
      <c r="N31" s="86">
        <f t="shared" si="6"/>
        <v>38.299065420560751</v>
      </c>
      <c r="O31" s="3" t="s">
        <v>6</v>
      </c>
      <c r="P31" s="80">
        <v>7</v>
      </c>
      <c r="R31" s="385">
        <f>(10.32+22.03)/2</f>
        <v>16.175000000000001</v>
      </c>
      <c r="S31" s="384">
        <f>(33.12+48.84)/2</f>
        <v>40.980000000000004</v>
      </c>
    </row>
    <row r="32" spans="3:19" x14ac:dyDescent="0.3">
      <c r="C32" s="4" t="s">
        <v>26</v>
      </c>
      <c r="D32" s="337" t="b">
        <v>1</v>
      </c>
      <c r="E32" s="8">
        <f t="shared" si="2"/>
        <v>0.38699999999999996</v>
      </c>
      <c r="F32" s="339" t="b">
        <v>0</v>
      </c>
      <c r="G32" s="10">
        <f t="shared" si="0"/>
        <v>0</v>
      </c>
      <c r="H32" s="491">
        <v>1</v>
      </c>
      <c r="I32" s="340">
        <v>120</v>
      </c>
      <c r="J32" t="s">
        <v>7</v>
      </c>
      <c r="K32" s="376">
        <f>(2.35+4.1)/2</f>
        <v>3.2249999999999996</v>
      </c>
      <c r="L32" s="374">
        <f>(2.63+4.1)/2</f>
        <v>3.3649999999999998</v>
      </c>
      <c r="M32" s="86">
        <f t="shared" si="7"/>
        <v>3.0140186915887845</v>
      </c>
      <c r="N32" s="86">
        <f t="shared" si="6"/>
        <v>3.1448598130841119</v>
      </c>
      <c r="O32" s="3" t="s">
        <v>6</v>
      </c>
      <c r="P32" s="80">
        <v>7</v>
      </c>
      <c r="R32" s="385">
        <f>(2.35+4.1)/2</f>
        <v>3.2249999999999996</v>
      </c>
      <c r="S32" s="384">
        <f>(2.63+4.1)/2</f>
        <v>3.3649999999999998</v>
      </c>
    </row>
    <row r="33" spans="3:19" x14ac:dyDescent="0.3">
      <c r="C33" s="7" t="s">
        <v>43</v>
      </c>
      <c r="D33" s="337" t="b">
        <v>0</v>
      </c>
      <c r="E33" s="8">
        <f t="shared" si="2"/>
        <v>0</v>
      </c>
      <c r="F33" s="339" t="b">
        <v>0</v>
      </c>
      <c r="G33" s="10">
        <f t="shared" si="0"/>
        <v>0</v>
      </c>
      <c r="H33" s="491">
        <v>1</v>
      </c>
      <c r="I33" s="340">
        <v>120</v>
      </c>
      <c r="J33" t="s">
        <v>7</v>
      </c>
      <c r="K33" s="376">
        <f>(2.24+3.06)/2</f>
        <v>2.6500000000000004</v>
      </c>
      <c r="L33" s="374">
        <f>(2.98+4.56)/2</f>
        <v>3.7699999999999996</v>
      </c>
      <c r="M33" s="86">
        <f t="shared" si="7"/>
        <v>2.476635514018692</v>
      </c>
      <c r="N33" s="86">
        <f t="shared" si="6"/>
        <v>3.523364485981308</v>
      </c>
      <c r="O33" s="3" t="s">
        <v>6</v>
      </c>
      <c r="P33" s="80">
        <v>7</v>
      </c>
      <c r="R33" s="385">
        <f>(2.24+3.06)/2</f>
        <v>2.6500000000000004</v>
      </c>
      <c r="S33" s="384">
        <f>(2.98+4.56)/2</f>
        <v>3.7699999999999996</v>
      </c>
    </row>
    <row r="34" spans="3:19" s="78" customFormat="1" ht="3.6" customHeight="1" x14ac:dyDescent="0.3">
      <c r="C34" s="367"/>
      <c r="D34" s="368"/>
      <c r="E34" s="8"/>
      <c r="F34" s="368"/>
      <c r="G34" s="10"/>
      <c r="H34" s="493"/>
      <c r="I34" s="369"/>
      <c r="J34" s="370"/>
      <c r="K34" s="378"/>
      <c r="L34" s="369"/>
      <c r="M34" s="371"/>
      <c r="N34" s="371"/>
      <c r="O34" s="370"/>
      <c r="P34" s="518"/>
      <c r="R34" s="387"/>
      <c r="S34" s="387"/>
    </row>
    <row r="35" spans="3:19" x14ac:dyDescent="0.3">
      <c r="C35" s="4" t="s">
        <v>24</v>
      </c>
      <c r="D35" s="337" t="b">
        <v>1</v>
      </c>
      <c r="E35" s="8">
        <f t="shared" si="2"/>
        <v>0.44319999999999998</v>
      </c>
      <c r="F35" s="339" t="b">
        <v>0</v>
      </c>
      <c r="G35" s="10">
        <f t="shared" si="0"/>
        <v>0</v>
      </c>
      <c r="H35" s="491">
        <v>2</v>
      </c>
      <c r="I35" s="340">
        <v>40</v>
      </c>
      <c r="J35" t="s">
        <v>7</v>
      </c>
      <c r="K35" s="376">
        <f>(3.43+7.65)/2</f>
        <v>5.54</v>
      </c>
      <c r="L35" s="380">
        <f>(5.33+12.39)/2</f>
        <v>8.86</v>
      </c>
      <c r="M35" s="86">
        <f>K35/(1+(P35/100))</f>
        <v>5.1775700934579438</v>
      </c>
      <c r="N35" s="86">
        <f>L35/(1+(P35/100))</f>
        <v>8.2803738317756999</v>
      </c>
      <c r="O35" s="3" t="s">
        <v>6</v>
      </c>
      <c r="P35" s="80">
        <v>7</v>
      </c>
      <c r="R35" s="385">
        <f>(3.43+7.65)/2</f>
        <v>5.54</v>
      </c>
      <c r="S35" s="384">
        <f>(5.33+12.39)/2</f>
        <v>8.86</v>
      </c>
    </row>
    <row r="36" spans="3:19" x14ac:dyDescent="0.3">
      <c r="C36" s="4" t="s">
        <v>25</v>
      </c>
      <c r="D36" s="337" t="b">
        <v>0</v>
      </c>
      <c r="E36" s="8">
        <f t="shared" si="2"/>
        <v>0</v>
      </c>
      <c r="F36" s="339" t="b">
        <v>0</v>
      </c>
      <c r="G36" s="10">
        <f t="shared" si="0"/>
        <v>0</v>
      </c>
      <c r="H36" s="491">
        <v>1</v>
      </c>
      <c r="I36" s="340">
        <v>30</v>
      </c>
      <c r="J36" t="s">
        <v>7</v>
      </c>
      <c r="K36" s="376">
        <f>(1.13+2.97)/2</f>
        <v>2.0499999999999998</v>
      </c>
      <c r="L36" s="380">
        <f>(2.55+6.85)/2</f>
        <v>4.6999999999999993</v>
      </c>
      <c r="M36" s="86">
        <f>K36/(1+(P36/100))</f>
        <v>1.9158878504672894</v>
      </c>
      <c r="N36" s="86">
        <f>L36/(1+(P36/100))</f>
        <v>4.3925233644859807</v>
      </c>
      <c r="O36" s="3" t="s">
        <v>6</v>
      </c>
      <c r="P36" s="80">
        <v>7</v>
      </c>
      <c r="R36" s="385">
        <f>(1.13+2.97)/2</f>
        <v>2.0499999999999998</v>
      </c>
      <c r="S36" s="384">
        <f>(2.55+6.85)/2</f>
        <v>4.6999999999999993</v>
      </c>
    </row>
    <row r="37" spans="3:19" x14ac:dyDescent="0.3">
      <c r="C37" s="4" t="s">
        <v>42</v>
      </c>
      <c r="D37" s="337" t="b">
        <v>0</v>
      </c>
      <c r="E37" s="8">
        <f t="shared" si="2"/>
        <v>0</v>
      </c>
      <c r="F37" s="339" t="b">
        <v>0</v>
      </c>
      <c r="G37" s="10">
        <f t="shared" si="0"/>
        <v>0</v>
      </c>
      <c r="H37" s="491">
        <v>1</v>
      </c>
      <c r="I37" s="340">
        <v>15</v>
      </c>
      <c r="J37" s="5" t="s">
        <v>7</v>
      </c>
      <c r="K37" s="376">
        <f>(4.32+6.43)/2</f>
        <v>5.375</v>
      </c>
      <c r="L37" s="380">
        <f>(6.84+20.65)/2</f>
        <v>13.744999999999999</v>
      </c>
      <c r="M37" s="86">
        <f>K37/(1+(P37/100))</f>
        <v>5.0233644859813085</v>
      </c>
      <c r="N37" s="86">
        <f>L37/(1+(P37/100))</f>
        <v>12.845794392523363</v>
      </c>
      <c r="O37" s="3" t="s">
        <v>6</v>
      </c>
      <c r="P37" s="80">
        <v>7</v>
      </c>
      <c r="R37" s="385">
        <f>(4.32+6.43)/2</f>
        <v>5.375</v>
      </c>
      <c r="S37" s="384">
        <f>(6.84+20.65)/2</f>
        <v>13.744999999999999</v>
      </c>
    </row>
    <row r="38" spans="3:19" x14ac:dyDescent="0.3">
      <c r="C38" s="4" t="s">
        <v>52</v>
      </c>
      <c r="D38" s="337" t="b">
        <v>1</v>
      </c>
      <c r="E38" s="8">
        <f t="shared" si="2"/>
        <v>0.19800000000000001</v>
      </c>
      <c r="F38" s="339" t="b">
        <v>0</v>
      </c>
      <c r="G38" s="10">
        <f t="shared" si="0"/>
        <v>0</v>
      </c>
      <c r="H38" s="491">
        <v>1</v>
      </c>
      <c r="I38" s="340">
        <v>200</v>
      </c>
      <c r="J38" s="5" t="s">
        <v>51</v>
      </c>
      <c r="K38" s="376">
        <f>(0.79+1.19)/2</f>
        <v>0.99</v>
      </c>
      <c r="L38" s="380">
        <f>(0.99+2.42)/2</f>
        <v>1.7050000000000001</v>
      </c>
      <c r="M38" s="86">
        <f>K38/(1+(P38/100))</f>
        <v>0.92523364485981308</v>
      </c>
      <c r="N38" s="86">
        <f>L38/(1+(P38/100))</f>
        <v>1.5934579439252337</v>
      </c>
      <c r="O38" s="3" t="s">
        <v>9</v>
      </c>
      <c r="P38" s="80">
        <v>7</v>
      </c>
      <c r="R38" s="385">
        <f>(0.79+1.19)/2</f>
        <v>0.99</v>
      </c>
      <c r="S38" s="384">
        <f>(0.99+2.42)/2</f>
        <v>1.7050000000000001</v>
      </c>
    </row>
    <row r="39" spans="3:19" s="78" customFormat="1" ht="4.95" customHeight="1" x14ac:dyDescent="0.3">
      <c r="C39" s="367"/>
      <c r="D39" s="368"/>
      <c r="E39" s="8"/>
      <c r="F39" s="368"/>
      <c r="G39" s="10"/>
      <c r="H39" s="493"/>
      <c r="I39" s="369"/>
      <c r="J39" s="370"/>
      <c r="K39" s="378"/>
      <c r="L39" s="378"/>
      <c r="M39" s="371"/>
      <c r="N39" s="371"/>
      <c r="O39" s="370"/>
      <c r="P39" s="518"/>
      <c r="R39" s="387"/>
      <c r="S39" s="387"/>
    </row>
    <row r="40" spans="3:19" x14ac:dyDescent="0.3">
      <c r="C40" s="3" t="s">
        <v>33</v>
      </c>
      <c r="D40" s="337" t="b">
        <v>0</v>
      </c>
      <c r="E40" s="8">
        <f>IF(D40, (IF($A$5,K40*I40*H40,M40*I40*H40)), 0)</f>
        <v>0</v>
      </c>
      <c r="F40" s="339" t="b">
        <v>0</v>
      </c>
      <c r="G40" s="10">
        <f>IF(F40, (IF($A$5,L40*I40*H40,N40*I40*H40)), 0)</f>
        <v>0</v>
      </c>
      <c r="H40" s="491">
        <v>1</v>
      </c>
      <c r="I40" s="341">
        <v>1</v>
      </c>
      <c r="J40" t="s">
        <v>15</v>
      </c>
      <c r="K40" s="376">
        <f>(1.34+2.03)/2</f>
        <v>1.6850000000000001</v>
      </c>
      <c r="L40" s="380">
        <f>(2.01+2.3)/2</f>
        <v>2.1549999999999998</v>
      </c>
      <c r="M40" s="86">
        <f>K40/(1+(P40/100))</f>
        <v>1.5747663551401869</v>
      </c>
      <c r="N40" s="86">
        <f>L40/(1+(P40/100))</f>
        <v>2.0140186915887845</v>
      </c>
      <c r="O40" s="3" t="s">
        <v>53</v>
      </c>
      <c r="P40" s="80">
        <v>7</v>
      </c>
      <c r="R40" s="385">
        <f>(1.34+2.03)/2</f>
        <v>1.6850000000000001</v>
      </c>
      <c r="S40" s="384">
        <f>(2.01+2.3)/2</f>
        <v>2.1549999999999998</v>
      </c>
    </row>
    <row r="41" spans="3:19" s="83" customFormat="1" x14ac:dyDescent="0.3">
      <c r="C41" s="7" t="s">
        <v>27</v>
      </c>
      <c r="D41" s="337" t="b">
        <v>0</v>
      </c>
      <c r="E41" s="8">
        <f>IF(D41, (IF($A$5,K41*I41*H41,M41*I41*H41)), 0)</f>
        <v>0</v>
      </c>
      <c r="F41" s="339" t="b">
        <v>0</v>
      </c>
      <c r="G41" s="10">
        <f t="shared" ref="G41:G54" si="8">IF(F41, (IF($A$5,L41*I41*H41,N41*I41*H41)), 0)</f>
        <v>0</v>
      </c>
      <c r="H41" s="491">
        <v>1</v>
      </c>
      <c r="I41" s="341">
        <v>1</v>
      </c>
      <c r="J41" t="s">
        <v>15</v>
      </c>
      <c r="K41" s="376">
        <f>(1.33+1.61)/2</f>
        <v>1.4700000000000002</v>
      </c>
      <c r="L41" s="380">
        <f>(1.78+2.39)/2</f>
        <v>2.085</v>
      </c>
      <c r="M41" s="86">
        <f>K41/(1+(P41/100))</f>
        <v>1.3738317757009346</v>
      </c>
      <c r="N41" s="86">
        <f>L41/(1+(P41/100))</f>
        <v>1.9485981308411213</v>
      </c>
      <c r="O41" s="3" t="s">
        <v>53</v>
      </c>
      <c r="P41" s="80">
        <v>7</v>
      </c>
      <c r="R41" s="385">
        <f>(1.33+1.61)/2</f>
        <v>1.4700000000000002</v>
      </c>
      <c r="S41" s="384">
        <f>(1.78+2.39)/2</f>
        <v>2.085</v>
      </c>
    </row>
    <row r="42" spans="3:19" x14ac:dyDescent="0.3">
      <c r="C42" s="7" t="s">
        <v>30</v>
      </c>
      <c r="D42" s="337" t="b">
        <v>0</v>
      </c>
      <c r="E42" s="8">
        <f>IF(D42, (IF($A$5,K42*I42*H42,M42*I42*H42)), 0)</f>
        <v>0</v>
      </c>
      <c r="F42" s="339" t="b">
        <v>0</v>
      </c>
      <c r="G42" s="10">
        <f t="shared" si="8"/>
        <v>0</v>
      </c>
      <c r="H42" s="491">
        <v>1</v>
      </c>
      <c r="I42" s="341">
        <v>1</v>
      </c>
      <c r="J42" t="s">
        <v>15</v>
      </c>
      <c r="K42" s="376">
        <f>(0.98+1.36)/2</f>
        <v>1.17</v>
      </c>
      <c r="L42" s="380">
        <f>(1.39+2.07)/2</f>
        <v>1.73</v>
      </c>
      <c r="M42" s="86">
        <f>K42/(1+(P42/100))</f>
        <v>1.0934579439252334</v>
      </c>
      <c r="N42" s="86">
        <f>L42/(1+(P42/100))</f>
        <v>1.6168224299065419</v>
      </c>
      <c r="O42" s="3" t="s">
        <v>53</v>
      </c>
      <c r="P42" s="80">
        <v>7</v>
      </c>
      <c r="R42" s="385">
        <f>(0.98+1.36)/2</f>
        <v>1.17</v>
      </c>
      <c r="S42" s="384">
        <f>(1.39+2.07)/2</f>
        <v>1.73</v>
      </c>
    </row>
    <row r="43" spans="3:19" x14ac:dyDescent="0.3">
      <c r="C43" s="7" t="s">
        <v>32</v>
      </c>
      <c r="D43" s="337" t="b">
        <v>0</v>
      </c>
      <c r="E43" s="8">
        <f t="shared" ref="E43:E54" si="9">IF(D43, (IF($A$5,K43*I43*H43,M43*I43*H43)), 0)</f>
        <v>0</v>
      </c>
      <c r="F43" s="339" t="b">
        <v>0</v>
      </c>
      <c r="G43" s="10">
        <f t="shared" si="8"/>
        <v>0</v>
      </c>
      <c r="H43" s="491">
        <v>1</v>
      </c>
      <c r="I43" s="341">
        <v>1</v>
      </c>
      <c r="J43" t="s">
        <v>15</v>
      </c>
      <c r="K43" s="376">
        <f>(0.96+1.2)/2</f>
        <v>1.08</v>
      </c>
      <c r="L43" s="380">
        <f>(1.39+1.89)/2</f>
        <v>1.64</v>
      </c>
      <c r="M43" s="86">
        <f>K43/(1+(P43/100))</f>
        <v>1.0093457943925235</v>
      </c>
      <c r="N43" s="86">
        <f>L43/(1+(P43/100))</f>
        <v>1.5327102803738315</v>
      </c>
      <c r="O43" s="3" t="s">
        <v>53</v>
      </c>
      <c r="P43" s="80">
        <v>7</v>
      </c>
      <c r="R43" s="385">
        <f>(0.96+1.2)/2</f>
        <v>1.08</v>
      </c>
      <c r="S43" s="384">
        <f>(1.39+1.89)/2</f>
        <v>1.64</v>
      </c>
    </row>
    <row r="44" spans="3:19" x14ac:dyDescent="0.3">
      <c r="C44" s="3" t="s">
        <v>205</v>
      </c>
      <c r="D44" s="337" t="b">
        <v>0</v>
      </c>
      <c r="E44" s="8">
        <f t="shared" si="9"/>
        <v>0</v>
      </c>
      <c r="F44" s="339" t="b">
        <v>0</v>
      </c>
      <c r="G44" s="10">
        <f t="shared" si="8"/>
        <v>0</v>
      </c>
      <c r="H44" s="491">
        <v>1</v>
      </c>
      <c r="I44" s="341">
        <v>1</v>
      </c>
      <c r="J44" t="s">
        <v>15</v>
      </c>
      <c r="K44" s="376">
        <f>(1.14+1.39)/2</f>
        <v>1.2649999999999999</v>
      </c>
      <c r="L44" s="380">
        <f>(1.57+1.69)/2</f>
        <v>1.63</v>
      </c>
      <c r="M44" s="86">
        <f>K44/(1+(P44/100))</f>
        <v>1.1822429906542054</v>
      </c>
      <c r="N44" s="86">
        <f>L44/(1+(P44/100))</f>
        <v>1.5233644859813082</v>
      </c>
      <c r="O44" s="3" t="s">
        <v>53</v>
      </c>
      <c r="P44" s="80">
        <v>7</v>
      </c>
      <c r="R44" s="385">
        <f>(1.14+1.39)/2</f>
        <v>1.2649999999999999</v>
      </c>
      <c r="S44" s="384">
        <f>(1.57+1.69)/2</f>
        <v>1.63</v>
      </c>
    </row>
    <row r="45" spans="3:19" s="78" customFormat="1" ht="3" customHeight="1" x14ac:dyDescent="0.3">
      <c r="D45" s="372"/>
      <c r="E45" s="8"/>
      <c r="F45" s="373"/>
      <c r="G45" s="10"/>
      <c r="H45" s="494"/>
      <c r="I45" s="372"/>
      <c r="K45" s="373"/>
      <c r="L45" s="381"/>
      <c r="M45" s="79"/>
      <c r="N45" s="79"/>
      <c r="O45" s="79"/>
      <c r="P45" s="520"/>
      <c r="R45" s="388"/>
      <c r="S45" s="384"/>
    </row>
    <row r="46" spans="3:19" s="83" customFormat="1" x14ac:dyDescent="0.3">
      <c r="C46" s="4" t="s">
        <v>44</v>
      </c>
      <c r="D46" s="337" t="b">
        <v>1</v>
      </c>
      <c r="E46" s="8">
        <f t="shared" si="9"/>
        <v>0.52</v>
      </c>
      <c r="F46" s="339" t="b">
        <v>0</v>
      </c>
      <c r="G46" s="10">
        <f t="shared" si="8"/>
        <v>0</v>
      </c>
      <c r="H46" s="491">
        <v>2</v>
      </c>
      <c r="I46" s="340">
        <v>1</v>
      </c>
      <c r="J46" s="5" t="s">
        <v>15</v>
      </c>
      <c r="K46" s="376">
        <f>(0.13+0.39)/2</f>
        <v>0.26</v>
      </c>
      <c r="L46" s="380">
        <f>(0.52+0.67)/2</f>
        <v>0.59499999999999997</v>
      </c>
      <c r="M46" s="86">
        <f>K46/(1+(P46/100))</f>
        <v>0.24299065420560748</v>
      </c>
      <c r="N46" s="86">
        <f>L46/(1+(P46/100))</f>
        <v>0.55607476635514008</v>
      </c>
      <c r="O46" s="3" t="s">
        <v>53</v>
      </c>
      <c r="P46" s="80">
        <v>7</v>
      </c>
      <c r="R46" s="385">
        <f>(0.13+0.39)/2</f>
        <v>0.26</v>
      </c>
      <c r="S46" s="384">
        <f>(0.52+0.67)/2</f>
        <v>0.59499999999999997</v>
      </c>
    </row>
    <row r="47" spans="3:19" x14ac:dyDescent="0.3">
      <c r="C47" s="4" t="s">
        <v>45</v>
      </c>
      <c r="D47" s="337" t="b">
        <v>1</v>
      </c>
      <c r="E47" s="8">
        <f t="shared" si="9"/>
        <v>0.48</v>
      </c>
      <c r="F47" s="339" t="b">
        <v>0</v>
      </c>
      <c r="G47" s="10">
        <f t="shared" si="8"/>
        <v>0</v>
      </c>
      <c r="H47" s="491">
        <v>2</v>
      </c>
      <c r="I47" s="340">
        <v>1</v>
      </c>
      <c r="J47" s="5" t="s">
        <v>15</v>
      </c>
      <c r="K47" s="376">
        <f>(0.16+0.32)/2</f>
        <v>0.24</v>
      </c>
      <c r="L47" s="380">
        <f>(0.34+0.45)/2</f>
        <v>0.39500000000000002</v>
      </c>
      <c r="M47" s="86">
        <f>K47/(1+(P47/100))</f>
        <v>0.22429906542056072</v>
      </c>
      <c r="N47" s="86">
        <f>L47/(1+(P47/100))</f>
        <v>0.36915887850467288</v>
      </c>
      <c r="O47" s="3" t="s">
        <v>53</v>
      </c>
      <c r="P47" s="80">
        <v>7</v>
      </c>
      <c r="R47" s="385">
        <f>(0.16+0.32)/2</f>
        <v>0.24</v>
      </c>
      <c r="S47" s="384">
        <f>(0.34+0.45)/2</f>
        <v>0.39500000000000002</v>
      </c>
    </row>
    <row r="48" spans="3:19" s="78" customFormat="1" ht="3.6" customHeight="1" x14ac:dyDescent="0.3">
      <c r="D48" s="372"/>
      <c r="E48" s="8"/>
      <c r="F48" s="373"/>
      <c r="G48" s="10"/>
      <c r="H48" s="494"/>
      <c r="I48" s="372"/>
      <c r="K48" s="373"/>
      <c r="L48" s="381"/>
      <c r="M48" s="79"/>
      <c r="N48" s="79"/>
      <c r="O48" s="79"/>
      <c r="P48" s="520"/>
      <c r="R48" s="388"/>
      <c r="S48" s="384"/>
    </row>
    <row r="49" spans="3:19" x14ac:dyDescent="0.3">
      <c r="C49" s="4" t="s">
        <v>48</v>
      </c>
      <c r="D49" s="337" t="b">
        <v>1</v>
      </c>
      <c r="E49" s="8">
        <f t="shared" si="9"/>
        <v>3.02</v>
      </c>
      <c r="F49" s="339" t="b">
        <v>0</v>
      </c>
      <c r="G49" s="10">
        <f t="shared" si="8"/>
        <v>0</v>
      </c>
      <c r="H49" s="491">
        <v>4</v>
      </c>
      <c r="I49" s="340">
        <v>1</v>
      </c>
      <c r="J49" s="5" t="s">
        <v>15</v>
      </c>
      <c r="K49" s="376">
        <f>(0.7+0.81)/2</f>
        <v>0.755</v>
      </c>
      <c r="L49" s="380">
        <f>(0.86+1.03)/2</f>
        <v>0.94500000000000006</v>
      </c>
      <c r="M49" s="86">
        <f>K49/(1+(P49/100))</f>
        <v>0.70560747663551393</v>
      </c>
      <c r="N49" s="86">
        <f>L49/(1+(P49/100))</f>
        <v>0.88317757009345799</v>
      </c>
      <c r="O49" s="3" t="s">
        <v>53</v>
      </c>
      <c r="P49" s="80">
        <v>7</v>
      </c>
      <c r="R49" s="385">
        <f>(0.7+0.81)/2</f>
        <v>0.755</v>
      </c>
      <c r="S49" s="384">
        <f>(0.86+1.03)/2</f>
        <v>0.94500000000000006</v>
      </c>
    </row>
    <row r="50" spans="3:19" x14ac:dyDescent="0.3">
      <c r="C50" s="4" t="s">
        <v>29</v>
      </c>
      <c r="D50" s="337" t="b">
        <v>0</v>
      </c>
      <c r="E50" s="8">
        <f t="shared" si="9"/>
        <v>0</v>
      </c>
      <c r="F50" s="339" t="b">
        <v>0</v>
      </c>
      <c r="G50" s="10">
        <f t="shared" si="8"/>
        <v>0</v>
      </c>
      <c r="H50" s="491">
        <v>1</v>
      </c>
      <c r="I50" s="340">
        <v>1</v>
      </c>
      <c r="J50" s="5" t="s">
        <v>15</v>
      </c>
      <c r="K50" s="376">
        <f>(1.45+1.85)/2</f>
        <v>1.65</v>
      </c>
      <c r="L50" s="380">
        <f>(1.38+2.2)/2</f>
        <v>1.79</v>
      </c>
      <c r="M50" s="86">
        <f>K50/(1+(P50/100))</f>
        <v>1.542056074766355</v>
      </c>
      <c r="N50" s="86">
        <f>L50/(1+(P50/100))</f>
        <v>1.6728971962616821</v>
      </c>
      <c r="O50" s="3" t="s">
        <v>53</v>
      </c>
      <c r="P50" s="80">
        <v>7</v>
      </c>
      <c r="R50" s="385">
        <f>(1.45+1.85)/2</f>
        <v>1.65</v>
      </c>
      <c r="S50" s="384">
        <f>(1.31+2.08)/2</f>
        <v>1.6950000000000001</v>
      </c>
    </row>
    <row r="51" spans="3:19" x14ac:dyDescent="0.3">
      <c r="C51" s="4" t="s">
        <v>41</v>
      </c>
      <c r="D51" s="337" t="b">
        <v>0</v>
      </c>
      <c r="E51" s="8">
        <f t="shared" si="9"/>
        <v>0</v>
      </c>
      <c r="F51" s="339" t="b">
        <v>0</v>
      </c>
      <c r="G51" s="10">
        <f t="shared" si="8"/>
        <v>0</v>
      </c>
      <c r="H51" s="491">
        <v>1</v>
      </c>
      <c r="I51" s="340">
        <v>1</v>
      </c>
      <c r="J51" s="5" t="s">
        <v>15</v>
      </c>
      <c r="K51" s="376">
        <f>(0.92+1.1)/2</f>
        <v>1.01</v>
      </c>
      <c r="L51" s="380">
        <f>(0.9+1.28)/2</f>
        <v>1.0900000000000001</v>
      </c>
      <c r="M51" s="86">
        <f>K51/(1+(P51/100))</f>
        <v>0.94392523364485981</v>
      </c>
      <c r="N51" s="86">
        <f>L51/(1+(P51/100))</f>
        <v>1.0186915887850467</v>
      </c>
      <c r="O51" s="3" t="s">
        <v>53</v>
      </c>
      <c r="P51" s="80">
        <v>7</v>
      </c>
      <c r="R51" s="385">
        <f>(0.92+1.1)/2</f>
        <v>1.01</v>
      </c>
      <c r="S51" s="384">
        <f>(0.9+1.28)/2</f>
        <v>1.0900000000000001</v>
      </c>
    </row>
    <row r="52" spans="3:19" s="503" customFormat="1" ht="3" customHeight="1" x14ac:dyDescent="0.3">
      <c r="C52" s="502"/>
      <c r="D52" s="504"/>
      <c r="E52" s="8"/>
      <c r="F52" s="505"/>
      <c r="G52" s="10"/>
      <c r="H52" s="506"/>
      <c r="I52" s="507"/>
      <c r="J52" s="15"/>
      <c r="K52" s="508"/>
      <c r="L52" s="508"/>
      <c r="M52" s="86"/>
      <c r="N52" s="86"/>
      <c r="O52" s="15"/>
      <c r="P52" s="519"/>
      <c r="R52" s="509"/>
      <c r="S52" s="509"/>
    </row>
    <row r="53" spans="3:19" s="479" customFormat="1" x14ac:dyDescent="0.3">
      <c r="C53" s="513"/>
      <c r="D53" s="339" t="b">
        <v>0</v>
      </c>
      <c r="E53" s="8">
        <f>IF(D53, (IF($A$5,K53*I53*H53,M53*I53*H53)), 0)</f>
        <v>0</v>
      </c>
      <c r="F53" s="339" t="b">
        <v>0</v>
      </c>
      <c r="G53" s="10">
        <f t="shared" si="8"/>
        <v>0</v>
      </c>
      <c r="H53" s="510"/>
      <c r="I53" s="511"/>
      <c r="J53" s="515" t="s">
        <v>15</v>
      </c>
      <c r="K53" s="512"/>
      <c r="L53" s="512"/>
      <c r="M53" s="86">
        <f t="shared" ref="M53:M56" si="10">K53/(1+(P53/100))</f>
        <v>0</v>
      </c>
      <c r="N53" s="86">
        <f t="shared" ref="N53:N56" si="11">L53/(1+(P53/100))</f>
        <v>0</v>
      </c>
      <c r="O53" s="514" t="s">
        <v>53</v>
      </c>
      <c r="P53" s="522"/>
      <c r="Q53" s="5"/>
      <c r="R53" s="509"/>
      <c r="S53" s="509"/>
    </row>
    <row r="54" spans="3:19" s="479" customFormat="1" x14ac:dyDescent="0.3">
      <c r="C54" s="513"/>
      <c r="D54" s="339" t="b">
        <v>0</v>
      </c>
      <c r="E54" s="8">
        <f t="shared" si="9"/>
        <v>0</v>
      </c>
      <c r="F54" s="339"/>
      <c r="G54" s="10">
        <f t="shared" si="8"/>
        <v>0</v>
      </c>
      <c r="H54" s="510"/>
      <c r="I54" s="511"/>
      <c r="J54" s="515" t="s">
        <v>15</v>
      </c>
      <c r="K54" s="512"/>
      <c r="L54" s="512"/>
      <c r="M54" s="86">
        <f t="shared" si="10"/>
        <v>0</v>
      </c>
      <c r="N54" s="86">
        <f t="shared" si="11"/>
        <v>0</v>
      </c>
      <c r="O54" s="514" t="s">
        <v>53</v>
      </c>
      <c r="P54" s="522"/>
      <c r="Q54" s="5"/>
      <c r="R54" s="509"/>
      <c r="S54" s="509"/>
    </row>
    <row r="55" spans="3:19" s="479" customFormat="1" x14ac:dyDescent="0.3">
      <c r="C55" s="513"/>
      <c r="D55" s="339"/>
      <c r="E55" s="8">
        <f>IF(D55, (IF($A$5,K55/1000*I55*H55,M55/1000*I55*H55)), 0)</f>
        <v>0</v>
      </c>
      <c r="F55" s="339"/>
      <c r="G55" s="10">
        <f>IF(F55, (IF($A$5,L55/1000*I55*H55,N55/1000*I55*H55)), 0)</f>
        <v>0</v>
      </c>
      <c r="H55" s="510"/>
      <c r="I55" s="511"/>
      <c r="J55" s="515" t="s">
        <v>7</v>
      </c>
      <c r="K55" s="512"/>
      <c r="L55" s="512"/>
      <c r="M55" s="86">
        <f t="shared" si="10"/>
        <v>0</v>
      </c>
      <c r="N55" s="86">
        <f t="shared" si="11"/>
        <v>0</v>
      </c>
      <c r="O55" s="514" t="s">
        <v>6</v>
      </c>
      <c r="P55" s="522"/>
      <c r="Q55" s="5"/>
      <c r="R55" s="509"/>
      <c r="S55" s="509"/>
    </row>
    <row r="56" spans="3:19" s="479" customFormat="1" x14ac:dyDescent="0.3">
      <c r="C56" s="513"/>
      <c r="D56" s="339"/>
      <c r="E56" s="8">
        <f>IF(D56, (IF($A$5,K56/1000*I56*H56,M56/1000*I56*H56)), 0)</f>
        <v>0</v>
      </c>
      <c r="F56" s="339"/>
      <c r="G56" s="10">
        <f>IF(F56, (IF($A$5,L56/1000*I56*H56,N56/1000*I56*H56)), 0)</f>
        <v>0</v>
      </c>
      <c r="H56" s="510"/>
      <c r="I56" s="511"/>
      <c r="J56" s="515" t="s">
        <v>7</v>
      </c>
      <c r="K56" s="512"/>
      <c r="L56" s="512"/>
      <c r="M56" s="86">
        <f t="shared" si="10"/>
        <v>0</v>
      </c>
      <c r="N56" s="86">
        <f t="shared" si="11"/>
        <v>0</v>
      </c>
      <c r="O56" s="514" t="s">
        <v>6</v>
      </c>
      <c r="P56" s="522"/>
      <c r="Q56" s="5"/>
      <c r="R56" s="509"/>
      <c r="S56" s="509"/>
    </row>
    <row r="57" spans="3:19" s="83" customFormat="1" ht="15" thickBot="1" x14ac:dyDescent="0.35">
      <c r="E57" s="84"/>
      <c r="G57" s="84"/>
      <c r="H57" s="484"/>
      <c r="M57" s="85">
        <f t="shared" ref="M57" si="12">K57/(1+(P57/100))</f>
        <v>0</v>
      </c>
      <c r="N57" s="85">
        <f t="shared" si="1"/>
        <v>0</v>
      </c>
      <c r="P57" s="517"/>
    </row>
    <row r="58" spans="3:19" ht="28.2" customHeight="1" thickBot="1" x14ac:dyDescent="0.35">
      <c r="C58" s="5"/>
      <c r="D58" s="545" t="s">
        <v>296</v>
      </c>
      <c r="E58" s="546"/>
      <c r="F58" s="546"/>
      <c r="G58" s="185">
        <f>SUM(E4:E56)+SUM(G4:G56)</f>
        <v>13.0809</v>
      </c>
      <c r="H58" s="485"/>
      <c r="J58" s="5"/>
      <c r="K58" s="5"/>
      <c r="L58" s="5"/>
      <c r="M58" s="5"/>
      <c r="N58" s="5"/>
      <c r="O58" s="5"/>
      <c r="P58" s="80"/>
      <c r="Q58" s="5"/>
    </row>
    <row r="59" spans="3:19" x14ac:dyDescent="0.3">
      <c r="L59" s="5"/>
      <c r="M59" s="5"/>
      <c r="N59" s="5"/>
      <c r="O59" s="5"/>
      <c r="P59" s="80"/>
      <c r="Q59" s="5"/>
    </row>
    <row r="60" spans="3:19" x14ac:dyDescent="0.3">
      <c r="D60" s="15"/>
      <c r="E60" s="19"/>
      <c r="F60" s="19"/>
      <c r="G60" s="19"/>
      <c r="H60" s="485"/>
      <c r="L60" s="5"/>
      <c r="M60" s="5"/>
      <c r="N60" s="5"/>
      <c r="O60" s="5"/>
      <c r="P60" s="80"/>
      <c r="Q60" s="5"/>
    </row>
    <row r="61" spans="3:19" x14ac:dyDescent="0.3">
      <c r="D61" s="29"/>
      <c r="E61" s="29"/>
      <c r="F61" s="29"/>
      <c r="G61" s="29"/>
      <c r="H61" s="487"/>
      <c r="L61" s="5"/>
      <c r="M61" s="5"/>
      <c r="N61" s="5"/>
      <c r="O61" s="5"/>
      <c r="P61" s="80"/>
      <c r="Q61" s="5"/>
    </row>
    <row r="62" spans="3:19" x14ac:dyDescent="0.3">
      <c r="D62" s="15"/>
      <c r="E62" s="9"/>
      <c r="F62" s="9"/>
      <c r="G62" s="9"/>
      <c r="H62" s="485"/>
      <c r="L62" s="5"/>
      <c r="M62" s="5"/>
      <c r="N62" s="5"/>
      <c r="O62" s="5"/>
      <c r="P62" s="80"/>
      <c r="Q62" s="5"/>
    </row>
    <row r="63" spans="3:19" x14ac:dyDescent="0.3">
      <c r="D63" s="5"/>
      <c r="E63" s="16"/>
      <c r="F63" s="16"/>
      <c r="G63" s="16"/>
      <c r="H63" s="488"/>
      <c r="L63" s="5"/>
      <c r="M63" s="5"/>
      <c r="N63" s="5"/>
      <c r="O63" s="5"/>
      <c r="P63" s="80"/>
      <c r="Q63" s="5"/>
    </row>
    <row r="64" spans="3:19" x14ac:dyDescent="0.3">
      <c r="C64" s="11"/>
      <c r="D64" s="6"/>
      <c r="E64" s="6"/>
      <c r="F64" s="5"/>
      <c r="G64" s="6"/>
      <c r="H64" s="489"/>
      <c r="L64" s="5"/>
      <c r="M64" s="5"/>
      <c r="N64" s="5"/>
      <c r="O64" s="5"/>
      <c r="P64" s="80"/>
      <c r="Q64" s="5"/>
    </row>
    <row r="65" spans="1:17" x14ac:dyDescent="0.3">
      <c r="C65" s="6"/>
      <c r="D65" s="16"/>
      <c r="E65" s="16"/>
      <c r="F65" s="16"/>
      <c r="G65" s="16"/>
      <c r="H65" s="488"/>
      <c r="L65" s="5"/>
      <c r="M65" s="5"/>
      <c r="N65" s="5"/>
      <c r="O65" s="5"/>
      <c r="P65" s="80"/>
      <c r="Q65" s="5"/>
    </row>
    <row r="66" spans="1:17" x14ac:dyDescent="0.3">
      <c r="C66" s="5"/>
      <c r="D66" s="17"/>
      <c r="E66" s="16"/>
      <c r="F66" s="16"/>
      <c r="G66" s="16"/>
      <c r="H66" s="488"/>
      <c r="L66" s="5"/>
      <c r="M66" s="5"/>
      <c r="N66" s="5"/>
      <c r="O66" s="5"/>
      <c r="P66" s="80"/>
      <c r="Q66" s="5"/>
    </row>
    <row r="67" spans="1:17" x14ac:dyDescent="0.3">
      <c r="A67" s="25" t="s">
        <v>303</v>
      </c>
      <c r="C67" s="5"/>
      <c r="D67" s="12"/>
      <c r="E67" s="13"/>
      <c r="F67" s="5"/>
      <c r="G67" s="12"/>
      <c r="H67" s="490"/>
      <c r="L67" s="5"/>
      <c r="M67" s="5"/>
      <c r="N67" s="5"/>
      <c r="O67" s="5"/>
      <c r="P67" s="80"/>
      <c r="Q67" s="5"/>
    </row>
    <row r="68" spans="1:17" x14ac:dyDescent="0.3">
      <c r="C68" s="5"/>
      <c r="D68" s="5"/>
      <c r="E68" s="10"/>
      <c r="F68" s="10"/>
      <c r="G68" s="10"/>
      <c r="H68" s="81"/>
      <c r="L68" s="5"/>
      <c r="M68" s="5"/>
      <c r="N68" s="5"/>
      <c r="O68" s="5"/>
      <c r="P68" s="80"/>
      <c r="Q68" s="5"/>
    </row>
    <row r="69" spans="1:17" x14ac:dyDescent="0.3">
      <c r="L69" s="5"/>
      <c r="M69" s="5"/>
      <c r="N69" s="5"/>
      <c r="O69" s="5"/>
      <c r="P69" s="80"/>
      <c r="Q69" s="5"/>
    </row>
    <row r="70" spans="1:17" x14ac:dyDescent="0.3">
      <c r="L70" s="5"/>
      <c r="M70" s="5"/>
      <c r="N70" s="5"/>
      <c r="O70" s="5"/>
      <c r="P70" s="80"/>
      <c r="Q70" s="5"/>
    </row>
    <row r="71" spans="1:17" x14ac:dyDescent="0.3">
      <c r="L71" s="5"/>
      <c r="M71" s="5"/>
      <c r="N71" s="5"/>
      <c r="O71" s="5"/>
      <c r="P71" s="80"/>
      <c r="Q71" s="5"/>
    </row>
    <row r="72" spans="1:17" x14ac:dyDescent="0.3">
      <c r="L72" s="5"/>
      <c r="M72" s="5"/>
      <c r="N72" s="5"/>
      <c r="O72" s="5"/>
      <c r="P72" s="80"/>
      <c r="Q72" s="5"/>
    </row>
    <row r="73" spans="1:17" x14ac:dyDescent="0.3">
      <c r="L73" s="5"/>
      <c r="M73" s="5"/>
      <c r="N73" s="5"/>
      <c r="O73" s="5"/>
      <c r="P73" s="80"/>
      <c r="Q73" s="5"/>
    </row>
    <row r="74" spans="1:17" x14ac:dyDescent="0.3">
      <c r="L74" s="5"/>
      <c r="M74" s="5"/>
      <c r="N74" s="5"/>
      <c r="O74" s="5"/>
      <c r="P74" s="80"/>
      <c r="Q74" s="5"/>
    </row>
    <row r="75" spans="1:17" x14ac:dyDescent="0.3">
      <c r="L75" s="5"/>
      <c r="M75" s="5"/>
      <c r="N75" s="5"/>
      <c r="O75" s="5"/>
      <c r="P75" s="80"/>
      <c r="Q75" s="5"/>
    </row>
    <row r="76" spans="1:17" x14ac:dyDescent="0.3">
      <c r="L76" s="5"/>
      <c r="M76" s="5"/>
      <c r="N76" s="5"/>
      <c r="O76" s="5"/>
      <c r="P76" s="80"/>
      <c r="Q76" s="5"/>
    </row>
    <row r="77" spans="1:17" x14ac:dyDescent="0.3">
      <c r="L77" s="5"/>
      <c r="M77" s="5"/>
      <c r="N77" s="5"/>
      <c r="O77" s="5"/>
      <c r="P77" s="80"/>
      <c r="Q77" s="5"/>
    </row>
    <row r="78" spans="1:17" x14ac:dyDescent="0.3">
      <c r="L78" s="5"/>
      <c r="M78" s="5"/>
      <c r="N78" s="5"/>
      <c r="O78" s="5"/>
      <c r="P78" s="80"/>
      <c r="Q78" s="5"/>
    </row>
    <row r="79" spans="1:17" x14ac:dyDescent="0.3">
      <c r="L79" s="5"/>
      <c r="M79" s="5"/>
      <c r="N79" s="5"/>
      <c r="O79" s="5"/>
      <c r="P79" s="80"/>
      <c r="Q79" s="5"/>
    </row>
    <row r="80" spans="1:17" x14ac:dyDescent="0.3">
      <c r="L80" s="5"/>
      <c r="M80" s="5"/>
      <c r="N80" s="5"/>
      <c r="O80" s="5"/>
      <c r="P80" s="80"/>
      <c r="Q80" s="5"/>
    </row>
    <row r="81" spans="12:17" x14ac:dyDescent="0.3">
      <c r="L81" s="5"/>
      <c r="M81" s="5"/>
      <c r="N81" s="5"/>
      <c r="O81" s="5"/>
      <c r="P81" s="80"/>
      <c r="Q81" s="5"/>
    </row>
    <row r="82" spans="12:17" x14ac:dyDescent="0.3">
      <c r="L82" s="5"/>
      <c r="M82" s="5"/>
      <c r="N82" s="5"/>
      <c r="O82" s="5"/>
      <c r="P82" s="80"/>
      <c r="Q82" s="5"/>
    </row>
    <row r="83" spans="12:17" x14ac:dyDescent="0.3">
      <c r="L83" s="5"/>
      <c r="M83" s="5"/>
      <c r="N83" s="5"/>
      <c r="O83" s="5"/>
      <c r="P83" s="80"/>
      <c r="Q83" s="5"/>
    </row>
    <row r="84" spans="12:17" x14ac:dyDescent="0.3">
      <c r="L84" s="5"/>
      <c r="M84" s="5"/>
      <c r="N84" s="5"/>
      <c r="O84" s="5"/>
      <c r="P84" s="80"/>
      <c r="Q84" s="5"/>
    </row>
    <row r="85" spans="12:17" x14ac:dyDescent="0.3">
      <c r="L85" s="5"/>
      <c r="M85" s="5"/>
      <c r="N85" s="5"/>
      <c r="O85" s="5"/>
      <c r="P85" s="80"/>
      <c r="Q85" s="5"/>
    </row>
    <row r="86" spans="12:17" x14ac:dyDescent="0.3">
      <c r="L86" s="5"/>
      <c r="M86" s="5"/>
      <c r="N86" s="5"/>
      <c r="O86" s="5"/>
      <c r="P86" s="80"/>
      <c r="Q86" s="5"/>
    </row>
    <row r="87" spans="12:17" x14ac:dyDescent="0.3">
      <c r="L87" s="5"/>
      <c r="M87" s="5"/>
      <c r="N87" s="5"/>
      <c r="O87" s="5"/>
      <c r="P87" s="80"/>
      <c r="Q87" s="5"/>
    </row>
    <row r="88" spans="12:17" x14ac:dyDescent="0.3">
      <c r="L88" s="5"/>
      <c r="M88" s="5"/>
      <c r="N88" s="5"/>
      <c r="O88" s="5"/>
      <c r="P88" s="80"/>
      <c r="Q88" s="5"/>
    </row>
    <row r="89" spans="12:17" x14ac:dyDescent="0.3">
      <c r="L89" s="5"/>
      <c r="M89" s="5"/>
      <c r="N89" s="5"/>
      <c r="O89" s="5"/>
      <c r="P89" s="80"/>
      <c r="Q89" s="5"/>
    </row>
    <row r="90" spans="12:17" x14ac:dyDescent="0.3">
      <c r="L90" s="5"/>
      <c r="M90" s="5"/>
      <c r="N90" s="5"/>
      <c r="O90" s="5"/>
      <c r="P90" s="80"/>
      <c r="Q90" s="5"/>
    </row>
    <row r="91" spans="12:17" x14ac:dyDescent="0.3">
      <c r="L91" s="5"/>
      <c r="M91" s="5"/>
      <c r="N91" s="5"/>
      <c r="O91" s="5"/>
      <c r="P91" s="80"/>
      <c r="Q91" s="5"/>
    </row>
    <row r="92" spans="12:17" x14ac:dyDescent="0.3">
      <c r="L92" s="5"/>
      <c r="M92" s="5"/>
      <c r="N92" s="5"/>
      <c r="O92" s="5"/>
      <c r="P92" s="80"/>
      <c r="Q92" s="5"/>
    </row>
    <row r="93" spans="12:17" x14ac:dyDescent="0.3">
      <c r="L93" s="5"/>
      <c r="M93" s="5"/>
      <c r="N93" s="5"/>
      <c r="O93" s="5"/>
      <c r="P93" s="80"/>
      <c r="Q93" s="5"/>
    </row>
    <row r="94" spans="12:17" x14ac:dyDescent="0.3">
      <c r="L94" s="5"/>
      <c r="M94" s="5"/>
      <c r="N94" s="5"/>
      <c r="O94" s="5"/>
      <c r="P94" s="80"/>
      <c r="Q94" s="5"/>
    </row>
    <row r="95" spans="12:17" x14ac:dyDescent="0.3">
      <c r="L95" s="5"/>
      <c r="M95" s="5"/>
      <c r="N95" s="5"/>
      <c r="O95" s="5"/>
      <c r="P95" s="80"/>
      <c r="Q95" s="5"/>
    </row>
    <row r="96" spans="12:17" x14ac:dyDescent="0.3">
      <c r="L96" s="5"/>
      <c r="M96" s="5"/>
      <c r="N96" s="5"/>
      <c r="O96" s="5"/>
      <c r="P96" s="80"/>
      <c r="Q96" s="5"/>
    </row>
    <row r="97" spans="12:17" x14ac:dyDescent="0.3">
      <c r="L97" s="5"/>
      <c r="M97" s="5"/>
      <c r="N97" s="5"/>
      <c r="O97" s="5"/>
      <c r="P97" s="80"/>
      <c r="Q97" s="5"/>
    </row>
    <row r="98" spans="12:17" x14ac:dyDescent="0.3">
      <c r="L98" s="5"/>
      <c r="M98" s="5"/>
      <c r="N98" s="5"/>
      <c r="O98" s="5"/>
      <c r="P98" s="80"/>
      <c r="Q98" s="5"/>
    </row>
    <row r="99" spans="12:17" x14ac:dyDescent="0.3">
      <c r="L99" s="5"/>
      <c r="M99" s="5"/>
      <c r="N99" s="5"/>
      <c r="O99" s="5"/>
      <c r="P99" s="80"/>
      <c r="Q99" s="5"/>
    </row>
    <row r="100" spans="12:17" x14ac:dyDescent="0.3">
      <c r="L100" s="5"/>
      <c r="M100" s="5"/>
      <c r="N100" s="5"/>
      <c r="O100" s="5"/>
      <c r="P100" s="80"/>
      <c r="Q100" s="5"/>
    </row>
    <row r="101" spans="12:17" x14ac:dyDescent="0.3">
      <c r="L101" s="5"/>
      <c r="M101" s="5"/>
      <c r="N101" s="5"/>
      <c r="O101" s="5"/>
      <c r="P101" s="80"/>
      <c r="Q101" s="5"/>
    </row>
    <row r="102" spans="12:17" x14ac:dyDescent="0.3">
      <c r="L102" s="5"/>
      <c r="M102" s="5"/>
      <c r="N102" s="5"/>
      <c r="O102" s="5"/>
      <c r="P102" s="80"/>
      <c r="Q102" s="5"/>
    </row>
    <row r="103" spans="12:17" x14ac:dyDescent="0.3">
      <c r="L103" s="5"/>
      <c r="M103" s="5"/>
      <c r="N103" s="5"/>
      <c r="O103" s="5"/>
      <c r="P103" s="80"/>
      <c r="Q103" s="5"/>
    </row>
    <row r="104" spans="12:17" x14ac:dyDescent="0.3">
      <c r="L104" s="5"/>
      <c r="M104" s="5"/>
      <c r="N104" s="5"/>
      <c r="O104" s="5"/>
      <c r="P104" s="80"/>
      <c r="Q104" s="5"/>
    </row>
    <row r="105" spans="12:17" x14ac:dyDescent="0.3">
      <c r="L105" s="5"/>
      <c r="M105" s="5"/>
      <c r="N105" s="5"/>
      <c r="O105" s="5"/>
      <c r="P105" s="80"/>
      <c r="Q105" s="5"/>
    </row>
    <row r="106" spans="12:17" x14ac:dyDescent="0.3">
      <c r="L106" s="5"/>
      <c r="M106" s="5"/>
      <c r="N106" s="5"/>
      <c r="O106" s="5"/>
      <c r="P106" s="80"/>
      <c r="Q106" s="5"/>
    </row>
    <row r="107" spans="12:17" x14ac:dyDescent="0.3">
      <c r="L107" s="5"/>
      <c r="M107" s="5"/>
      <c r="N107" s="5"/>
      <c r="O107" s="5"/>
      <c r="P107" s="80"/>
      <c r="Q107" s="5"/>
    </row>
    <row r="108" spans="12:17" x14ac:dyDescent="0.3">
      <c r="L108" s="5"/>
      <c r="M108" s="5"/>
      <c r="N108" s="5"/>
      <c r="O108" s="5"/>
      <c r="P108" s="80"/>
      <c r="Q108" s="5"/>
    </row>
    <row r="109" spans="12:17" x14ac:dyDescent="0.3">
      <c r="L109" s="5"/>
      <c r="M109" s="5"/>
      <c r="N109" s="5"/>
      <c r="O109" s="5"/>
      <c r="P109" s="80"/>
      <c r="Q109" s="5"/>
    </row>
    <row r="110" spans="12:17" x14ac:dyDescent="0.3">
      <c r="L110" s="5"/>
      <c r="M110" s="5"/>
      <c r="N110" s="5"/>
      <c r="O110" s="5"/>
      <c r="P110" s="80"/>
      <c r="Q110" s="5"/>
    </row>
    <row r="111" spans="12:17" x14ac:dyDescent="0.3">
      <c r="L111" s="5"/>
      <c r="M111" s="5"/>
      <c r="N111" s="5"/>
      <c r="O111" s="5"/>
      <c r="P111" s="80"/>
      <c r="Q111" s="5"/>
    </row>
    <row r="112" spans="12:17" x14ac:dyDescent="0.3">
      <c r="L112" s="5"/>
      <c r="M112" s="5"/>
      <c r="N112" s="5"/>
      <c r="O112" s="5"/>
      <c r="P112" s="80"/>
      <c r="Q112" s="5"/>
    </row>
    <row r="113" spans="12:17" x14ac:dyDescent="0.3">
      <c r="L113" s="5"/>
      <c r="M113" s="5"/>
      <c r="N113" s="5"/>
      <c r="O113" s="5"/>
      <c r="P113" s="80"/>
      <c r="Q113" s="5"/>
    </row>
    <row r="114" spans="12:17" x14ac:dyDescent="0.3">
      <c r="L114" s="5"/>
      <c r="M114" s="5"/>
      <c r="N114" s="5"/>
      <c r="O114" s="5"/>
      <c r="P114" s="80"/>
      <c r="Q114" s="5"/>
    </row>
    <row r="115" spans="12:17" x14ac:dyDescent="0.3">
      <c r="L115" s="5"/>
      <c r="M115" s="5"/>
      <c r="N115" s="5"/>
      <c r="O115" s="5"/>
      <c r="P115" s="80"/>
      <c r="Q115" s="5"/>
    </row>
    <row r="116" spans="12:17" x14ac:dyDescent="0.3">
      <c r="L116" s="5"/>
      <c r="M116" s="5"/>
      <c r="N116" s="5"/>
      <c r="O116" s="5"/>
      <c r="P116" s="80"/>
      <c r="Q116" s="5"/>
    </row>
    <row r="117" spans="12:17" x14ac:dyDescent="0.3">
      <c r="L117" s="5"/>
      <c r="M117" s="5"/>
      <c r="N117" s="5"/>
      <c r="O117" s="5"/>
      <c r="P117" s="80"/>
      <c r="Q117" s="5"/>
    </row>
    <row r="118" spans="12:17" x14ac:dyDescent="0.3">
      <c r="L118" s="5"/>
      <c r="M118" s="5"/>
      <c r="N118" s="5"/>
      <c r="O118" s="5"/>
      <c r="P118" s="80"/>
      <c r="Q118" s="5"/>
    </row>
    <row r="119" spans="12:17" x14ac:dyDescent="0.3">
      <c r="L119" s="5"/>
      <c r="M119" s="5"/>
      <c r="N119" s="5"/>
      <c r="O119" s="5"/>
      <c r="P119" s="80"/>
      <c r="Q119" s="5"/>
    </row>
    <row r="120" spans="12:17" x14ac:dyDescent="0.3">
      <c r="L120" s="5"/>
      <c r="M120" s="5"/>
      <c r="N120" s="5"/>
      <c r="O120" s="5"/>
      <c r="P120" s="80"/>
      <c r="Q120" s="5"/>
    </row>
    <row r="121" spans="12:17" x14ac:dyDescent="0.3">
      <c r="L121" s="5"/>
      <c r="M121" s="5"/>
      <c r="N121" s="5"/>
      <c r="O121" s="5"/>
      <c r="P121" s="80"/>
      <c r="Q121" s="5"/>
    </row>
    <row r="122" spans="12:17" x14ac:dyDescent="0.3">
      <c r="L122" s="5"/>
      <c r="M122" s="5"/>
      <c r="N122" s="5"/>
      <c r="O122" s="5"/>
      <c r="P122" s="80"/>
      <c r="Q122" s="5"/>
    </row>
    <row r="123" spans="12:17" x14ac:dyDescent="0.3">
      <c r="L123" s="5"/>
      <c r="M123" s="5"/>
      <c r="N123" s="5"/>
      <c r="O123" s="5"/>
      <c r="P123" s="80"/>
      <c r="Q123" s="5"/>
    </row>
    <row r="124" spans="12:17" x14ac:dyDescent="0.3">
      <c r="L124" s="5"/>
      <c r="M124" s="5"/>
      <c r="N124" s="5"/>
      <c r="O124" s="5"/>
      <c r="P124" s="80"/>
      <c r="Q124" s="5"/>
    </row>
    <row r="125" spans="12:17" x14ac:dyDescent="0.3">
      <c r="L125" s="5"/>
      <c r="M125" s="5"/>
      <c r="N125" s="5"/>
      <c r="O125" s="5"/>
      <c r="P125" s="80"/>
      <c r="Q125" s="5"/>
    </row>
    <row r="126" spans="12:17" x14ac:dyDescent="0.3">
      <c r="L126" s="5"/>
      <c r="M126" s="5"/>
      <c r="N126" s="5"/>
      <c r="O126" s="5"/>
      <c r="P126" s="80"/>
      <c r="Q126" s="5"/>
    </row>
    <row r="127" spans="12:17" x14ac:dyDescent="0.3">
      <c r="L127" s="5"/>
      <c r="M127" s="5"/>
      <c r="N127" s="5"/>
      <c r="O127" s="5"/>
      <c r="P127" s="80"/>
      <c r="Q127" s="5"/>
    </row>
    <row r="128" spans="12:17" x14ac:dyDescent="0.3">
      <c r="L128" s="5"/>
      <c r="M128" s="5"/>
      <c r="N128" s="5"/>
      <c r="O128" s="5"/>
      <c r="P128" s="80"/>
      <c r="Q128" s="5"/>
    </row>
    <row r="129" spans="12:17" x14ac:dyDescent="0.3">
      <c r="L129" s="5"/>
      <c r="M129" s="5"/>
      <c r="N129" s="5"/>
      <c r="O129" s="5"/>
      <c r="P129" s="80"/>
      <c r="Q129" s="5"/>
    </row>
    <row r="130" spans="12:17" x14ac:dyDescent="0.3">
      <c r="L130" s="5"/>
      <c r="M130" s="5"/>
      <c r="N130" s="5"/>
      <c r="O130" s="5"/>
      <c r="P130" s="80"/>
      <c r="Q130" s="5"/>
    </row>
    <row r="131" spans="12:17" x14ac:dyDescent="0.3">
      <c r="L131" s="5"/>
      <c r="M131" s="5"/>
      <c r="N131" s="5"/>
      <c r="O131" s="5"/>
      <c r="P131" s="80"/>
      <c r="Q131" s="5"/>
    </row>
    <row r="132" spans="12:17" x14ac:dyDescent="0.3">
      <c r="L132" s="5"/>
      <c r="M132" s="5"/>
      <c r="N132" s="5"/>
      <c r="O132" s="5"/>
      <c r="P132" s="80"/>
      <c r="Q132" s="5"/>
    </row>
    <row r="133" spans="12:17" x14ac:dyDescent="0.3">
      <c r="L133" s="5"/>
      <c r="M133" s="5"/>
      <c r="N133" s="5"/>
      <c r="O133" s="5"/>
      <c r="P133" s="80"/>
      <c r="Q133" s="5"/>
    </row>
    <row r="134" spans="12:17" x14ac:dyDescent="0.3">
      <c r="L134" s="5"/>
      <c r="M134" s="5"/>
      <c r="N134" s="5"/>
      <c r="O134" s="5"/>
      <c r="P134" s="80"/>
      <c r="Q134" s="5"/>
    </row>
    <row r="135" spans="12:17" x14ac:dyDescent="0.3">
      <c r="L135" s="5"/>
      <c r="M135" s="5"/>
      <c r="N135" s="5"/>
      <c r="O135" s="5"/>
      <c r="P135" s="80"/>
      <c r="Q135" s="5"/>
    </row>
    <row r="136" spans="12:17" x14ac:dyDescent="0.3">
      <c r="L136" s="5"/>
      <c r="M136" s="5"/>
      <c r="N136" s="5"/>
      <c r="O136" s="5"/>
      <c r="P136" s="80"/>
      <c r="Q136" s="5"/>
    </row>
    <row r="137" spans="12:17" x14ac:dyDescent="0.3">
      <c r="L137" s="5"/>
      <c r="M137" s="5"/>
      <c r="N137" s="5"/>
      <c r="O137" s="5"/>
      <c r="P137" s="80"/>
      <c r="Q137" s="5"/>
    </row>
    <row r="138" spans="12:17" x14ac:dyDescent="0.3">
      <c r="L138" s="5"/>
      <c r="M138" s="5"/>
      <c r="N138" s="5"/>
      <c r="O138" s="5"/>
      <c r="P138" s="80"/>
      <c r="Q138" s="5"/>
    </row>
    <row r="139" spans="12:17" x14ac:dyDescent="0.3">
      <c r="L139" s="5"/>
      <c r="M139" s="5"/>
      <c r="N139" s="5"/>
      <c r="O139" s="5"/>
      <c r="P139" s="80"/>
      <c r="Q139" s="5"/>
    </row>
    <row r="140" spans="12:17" x14ac:dyDescent="0.3">
      <c r="L140" s="5"/>
      <c r="M140" s="5"/>
      <c r="N140" s="5"/>
      <c r="O140" s="5"/>
      <c r="P140" s="80"/>
      <c r="Q140" s="5"/>
    </row>
    <row r="141" spans="12:17" x14ac:dyDescent="0.3">
      <c r="L141" s="5"/>
      <c r="M141" s="5"/>
      <c r="N141" s="5"/>
      <c r="O141" s="5"/>
      <c r="P141" s="80"/>
      <c r="Q141" s="5"/>
    </row>
    <row r="142" spans="12:17" x14ac:dyDescent="0.3">
      <c r="L142" s="5"/>
      <c r="M142" s="5"/>
      <c r="N142" s="5"/>
      <c r="O142" s="5"/>
      <c r="P142" s="80"/>
      <c r="Q142" s="5"/>
    </row>
    <row r="143" spans="12:17" x14ac:dyDescent="0.3">
      <c r="L143" s="5"/>
      <c r="M143" s="5"/>
      <c r="N143" s="5"/>
      <c r="O143" s="5"/>
      <c r="P143" s="80"/>
      <c r="Q143" s="5"/>
    </row>
    <row r="144" spans="12:17" x14ac:dyDescent="0.3">
      <c r="L144" s="5"/>
      <c r="M144" s="5"/>
      <c r="N144" s="5"/>
      <c r="O144" s="5"/>
      <c r="P144" s="80"/>
      <c r="Q144" s="5"/>
    </row>
    <row r="145" spans="12:17" x14ac:dyDescent="0.3">
      <c r="L145" s="5"/>
      <c r="M145" s="5"/>
      <c r="N145" s="5"/>
      <c r="O145" s="5"/>
      <c r="P145" s="80"/>
      <c r="Q145" s="5"/>
    </row>
    <row r="146" spans="12:17" x14ac:dyDescent="0.3">
      <c r="L146" s="5"/>
      <c r="M146" s="5"/>
      <c r="N146" s="5"/>
      <c r="O146" s="5"/>
      <c r="P146" s="80"/>
      <c r="Q146" s="5"/>
    </row>
    <row r="147" spans="12:17" x14ac:dyDescent="0.3">
      <c r="L147" s="5"/>
      <c r="M147" s="5"/>
      <c r="N147" s="5"/>
      <c r="O147" s="5"/>
      <c r="P147" s="80"/>
      <c r="Q147" s="5"/>
    </row>
    <row r="148" spans="12:17" x14ac:dyDescent="0.3">
      <c r="L148" s="5"/>
      <c r="M148" s="5"/>
      <c r="N148" s="5"/>
      <c r="O148" s="5"/>
      <c r="P148" s="80"/>
      <c r="Q148" s="5"/>
    </row>
    <row r="149" spans="12:17" x14ac:dyDescent="0.3">
      <c r="L149" s="5"/>
      <c r="M149" s="5"/>
      <c r="N149" s="5"/>
      <c r="O149" s="5"/>
      <c r="P149" s="80"/>
      <c r="Q149" s="5"/>
    </row>
    <row r="150" spans="12:17" x14ac:dyDescent="0.3">
      <c r="L150" s="5"/>
      <c r="M150" s="5"/>
      <c r="N150" s="5"/>
      <c r="O150" s="5"/>
      <c r="P150" s="80"/>
      <c r="Q150" s="5"/>
    </row>
    <row r="151" spans="12:17" x14ac:dyDescent="0.3">
      <c r="L151" s="5"/>
      <c r="M151" s="5"/>
      <c r="N151" s="5"/>
      <c r="O151" s="5"/>
      <c r="P151" s="80"/>
      <c r="Q151" s="5"/>
    </row>
    <row r="152" spans="12:17" x14ac:dyDescent="0.3">
      <c r="L152" s="5"/>
      <c r="M152" s="5"/>
      <c r="N152" s="5"/>
      <c r="O152" s="5"/>
      <c r="P152" s="80"/>
      <c r="Q152" s="5"/>
    </row>
    <row r="153" spans="12:17" x14ac:dyDescent="0.3">
      <c r="L153" s="5"/>
      <c r="M153" s="5"/>
      <c r="N153" s="5"/>
      <c r="O153" s="5"/>
      <c r="P153" s="80"/>
      <c r="Q153" s="5"/>
    </row>
    <row r="154" spans="12:17" x14ac:dyDescent="0.3">
      <c r="L154" s="5"/>
      <c r="M154" s="5"/>
      <c r="N154" s="5"/>
      <c r="O154" s="5"/>
      <c r="P154" s="80"/>
      <c r="Q154" s="5"/>
    </row>
    <row r="155" spans="12:17" x14ac:dyDescent="0.3">
      <c r="L155" s="5"/>
      <c r="M155" s="5"/>
      <c r="N155" s="5"/>
      <c r="O155" s="5"/>
      <c r="P155" s="80"/>
      <c r="Q155" s="5"/>
    </row>
    <row r="156" spans="12:17" x14ac:dyDescent="0.3">
      <c r="L156" s="5"/>
      <c r="M156" s="5"/>
      <c r="N156" s="5"/>
      <c r="O156" s="5"/>
      <c r="P156" s="80"/>
      <c r="Q156" s="5"/>
    </row>
    <row r="157" spans="12:17" x14ac:dyDescent="0.3">
      <c r="L157" s="5"/>
      <c r="M157" s="5"/>
      <c r="N157" s="5"/>
      <c r="O157" s="5"/>
      <c r="P157" s="80"/>
      <c r="Q157" s="5"/>
    </row>
    <row r="158" spans="12:17" x14ac:dyDescent="0.3">
      <c r="L158" s="5"/>
      <c r="M158" s="5"/>
      <c r="N158" s="5"/>
      <c r="O158" s="5"/>
      <c r="P158" s="80"/>
      <c r="Q158" s="5"/>
    </row>
    <row r="159" spans="12:17" x14ac:dyDescent="0.3">
      <c r="L159" s="5"/>
      <c r="M159" s="5"/>
      <c r="N159" s="5"/>
      <c r="O159" s="5"/>
      <c r="P159" s="80"/>
      <c r="Q159" s="5"/>
    </row>
    <row r="160" spans="12:17" x14ac:dyDescent="0.3">
      <c r="L160" s="5"/>
      <c r="M160" s="5"/>
      <c r="N160" s="5"/>
      <c r="O160" s="5"/>
      <c r="P160" s="80"/>
      <c r="Q160" s="5"/>
    </row>
    <row r="161" spans="12:17" x14ac:dyDescent="0.3">
      <c r="L161" s="5"/>
      <c r="M161" s="5"/>
      <c r="N161" s="5"/>
      <c r="O161" s="5"/>
      <c r="P161" s="80"/>
      <c r="Q161" s="5"/>
    </row>
    <row r="162" spans="12:17" x14ac:dyDescent="0.3">
      <c r="L162" s="5"/>
      <c r="M162" s="5"/>
      <c r="N162" s="5"/>
      <c r="O162" s="5"/>
      <c r="P162" s="80"/>
      <c r="Q162" s="5"/>
    </row>
    <row r="163" spans="12:17" x14ac:dyDescent="0.3">
      <c r="L163" s="5"/>
      <c r="M163" s="5"/>
      <c r="N163" s="5"/>
      <c r="O163" s="5"/>
      <c r="P163" s="80"/>
      <c r="Q163" s="5"/>
    </row>
    <row r="164" spans="12:17" x14ac:dyDescent="0.3">
      <c r="L164" s="5"/>
      <c r="M164" s="5"/>
      <c r="N164" s="5"/>
      <c r="O164" s="5"/>
      <c r="P164" s="80"/>
      <c r="Q164" s="5"/>
    </row>
    <row r="165" spans="12:17" x14ac:dyDescent="0.3">
      <c r="L165" s="5"/>
      <c r="M165" s="5"/>
      <c r="N165" s="5"/>
      <c r="O165" s="5"/>
      <c r="P165" s="80"/>
      <c r="Q165" s="5"/>
    </row>
    <row r="166" spans="12:17" x14ac:dyDescent="0.3">
      <c r="L166" s="5"/>
      <c r="M166" s="5"/>
      <c r="N166" s="5"/>
      <c r="O166" s="5"/>
      <c r="P166" s="80"/>
      <c r="Q166" s="5"/>
    </row>
    <row r="167" spans="12:17" x14ac:dyDescent="0.3">
      <c r="L167" s="5"/>
      <c r="M167" s="5"/>
      <c r="N167" s="5"/>
      <c r="O167" s="5"/>
      <c r="P167" s="80"/>
      <c r="Q167" s="5"/>
    </row>
    <row r="168" spans="12:17" x14ac:dyDescent="0.3">
      <c r="L168" s="5"/>
      <c r="M168" s="5"/>
      <c r="N168" s="5"/>
      <c r="O168" s="5"/>
      <c r="P168" s="80"/>
      <c r="Q168" s="5"/>
    </row>
    <row r="169" spans="12:17" x14ac:dyDescent="0.3">
      <c r="L169" s="5"/>
      <c r="M169" s="5"/>
      <c r="N169" s="5"/>
      <c r="O169" s="5"/>
      <c r="P169" s="80"/>
      <c r="Q169" s="5"/>
    </row>
    <row r="170" spans="12:17" x14ac:dyDescent="0.3">
      <c r="L170" s="5"/>
      <c r="M170" s="5"/>
      <c r="N170" s="5"/>
      <c r="O170" s="5"/>
      <c r="P170" s="80"/>
      <c r="Q170" s="5"/>
    </row>
    <row r="171" spans="12:17" x14ac:dyDescent="0.3">
      <c r="L171" s="5"/>
      <c r="M171" s="5"/>
      <c r="N171" s="5"/>
      <c r="O171" s="5"/>
      <c r="P171" s="80"/>
      <c r="Q171" s="5"/>
    </row>
    <row r="172" spans="12:17" x14ac:dyDescent="0.3">
      <c r="L172" s="5"/>
      <c r="M172" s="5"/>
      <c r="N172" s="5"/>
      <c r="O172" s="5"/>
      <c r="P172" s="80"/>
      <c r="Q172" s="5"/>
    </row>
    <row r="173" spans="12:17" x14ac:dyDescent="0.3">
      <c r="L173" s="5"/>
      <c r="M173" s="5"/>
      <c r="N173" s="5"/>
      <c r="O173" s="5"/>
      <c r="P173" s="80"/>
      <c r="Q173" s="5"/>
    </row>
    <row r="174" spans="12:17" x14ac:dyDescent="0.3">
      <c r="L174" s="5"/>
      <c r="M174" s="5"/>
      <c r="N174" s="5"/>
      <c r="O174" s="5"/>
      <c r="P174" s="80"/>
      <c r="Q174" s="5"/>
    </row>
    <row r="175" spans="12:17" x14ac:dyDescent="0.3">
      <c r="L175" s="5"/>
      <c r="M175" s="5"/>
      <c r="N175" s="5"/>
      <c r="O175" s="5"/>
      <c r="P175" s="80"/>
      <c r="Q175" s="5"/>
    </row>
    <row r="176" spans="12:17" x14ac:dyDescent="0.3">
      <c r="L176" s="5"/>
      <c r="M176" s="5"/>
      <c r="N176" s="5"/>
      <c r="O176" s="5"/>
      <c r="P176" s="80"/>
      <c r="Q176" s="5"/>
    </row>
    <row r="177" spans="12:17" x14ac:dyDescent="0.3">
      <c r="L177" s="5"/>
      <c r="M177" s="5"/>
      <c r="N177" s="5"/>
      <c r="O177" s="5"/>
      <c r="P177" s="80"/>
      <c r="Q177" s="5"/>
    </row>
    <row r="178" spans="12:17" x14ac:dyDescent="0.3">
      <c r="L178" s="5"/>
      <c r="M178" s="5"/>
      <c r="N178" s="5"/>
      <c r="O178" s="5"/>
      <c r="P178" s="80"/>
      <c r="Q178" s="5"/>
    </row>
    <row r="179" spans="12:17" x14ac:dyDescent="0.3">
      <c r="L179" s="5"/>
      <c r="M179" s="5"/>
      <c r="N179" s="5"/>
      <c r="O179" s="5"/>
      <c r="P179" s="80"/>
      <c r="Q179" s="5"/>
    </row>
    <row r="180" spans="12:17" x14ac:dyDescent="0.3">
      <c r="L180" s="5"/>
      <c r="M180" s="5"/>
      <c r="N180" s="5"/>
      <c r="O180" s="5"/>
      <c r="P180" s="80"/>
      <c r="Q180" s="5"/>
    </row>
    <row r="181" spans="12:17" x14ac:dyDescent="0.3">
      <c r="L181" s="5"/>
      <c r="M181" s="5"/>
      <c r="N181" s="5"/>
      <c r="O181" s="5"/>
      <c r="P181" s="80"/>
      <c r="Q181" s="5"/>
    </row>
    <row r="182" spans="12:17" x14ac:dyDescent="0.3">
      <c r="L182" s="5"/>
      <c r="M182" s="5"/>
      <c r="N182" s="5"/>
      <c r="O182" s="5"/>
      <c r="P182" s="80"/>
      <c r="Q182" s="5"/>
    </row>
    <row r="183" spans="12:17" x14ac:dyDescent="0.3">
      <c r="L183" s="5"/>
      <c r="M183" s="5"/>
      <c r="N183" s="5"/>
      <c r="O183" s="5"/>
      <c r="P183" s="80"/>
      <c r="Q183" s="5"/>
    </row>
    <row r="184" spans="12:17" x14ac:dyDescent="0.3">
      <c r="L184" s="5"/>
      <c r="M184" s="5"/>
      <c r="N184" s="5"/>
      <c r="O184" s="5"/>
      <c r="P184" s="80"/>
      <c r="Q184" s="5"/>
    </row>
    <row r="185" spans="12:17" x14ac:dyDescent="0.3">
      <c r="L185" s="5"/>
      <c r="M185" s="5"/>
      <c r="N185" s="5"/>
      <c r="O185" s="5"/>
      <c r="P185" s="80"/>
      <c r="Q185" s="5"/>
    </row>
    <row r="186" spans="12:17" x14ac:dyDescent="0.3">
      <c r="L186" s="5"/>
      <c r="M186" s="5"/>
      <c r="N186" s="5"/>
      <c r="O186" s="5"/>
      <c r="P186" s="80"/>
      <c r="Q186" s="5"/>
    </row>
    <row r="187" spans="12:17" x14ac:dyDescent="0.3">
      <c r="L187" s="5"/>
      <c r="M187" s="5"/>
      <c r="N187" s="5"/>
      <c r="O187" s="5"/>
      <c r="P187" s="80"/>
      <c r="Q187" s="5"/>
    </row>
    <row r="188" spans="12:17" x14ac:dyDescent="0.3">
      <c r="L188" s="5"/>
      <c r="M188" s="5"/>
      <c r="N188" s="5"/>
      <c r="O188" s="5"/>
      <c r="P188" s="80"/>
      <c r="Q188" s="5"/>
    </row>
    <row r="189" spans="12:17" x14ac:dyDescent="0.3">
      <c r="L189" s="5"/>
      <c r="M189" s="5"/>
      <c r="N189" s="5"/>
      <c r="O189" s="5"/>
      <c r="P189" s="80"/>
      <c r="Q189" s="5"/>
    </row>
    <row r="190" spans="12:17" x14ac:dyDescent="0.3">
      <c r="L190" s="5"/>
      <c r="M190" s="5"/>
      <c r="N190" s="5"/>
      <c r="O190" s="5"/>
      <c r="P190" s="80"/>
      <c r="Q190" s="5"/>
    </row>
    <row r="191" spans="12:17" x14ac:dyDescent="0.3">
      <c r="L191" s="5"/>
      <c r="M191" s="5"/>
      <c r="N191" s="5"/>
      <c r="O191" s="5"/>
      <c r="P191" s="80"/>
      <c r="Q191" s="5"/>
    </row>
    <row r="192" spans="12:17" x14ac:dyDescent="0.3">
      <c r="L192" s="5"/>
      <c r="M192" s="5"/>
      <c r="N192" s="5"/>
      <c r="O192" s="5"/>
      <c r="P192" s="80"/>
      <c r="Q192" s="5"/>
    </row>
    <row r="193" spans="12:17" x14ac:dyDescent="0.3">
      <c r="L193" s="5"/>
      <c r="M193" s="5"/>
      <c r="N193" s="5"/>
      <c r="O193" s="5"/>
      <c r="P193" s="80"/>
      <c r="Q193" s="5"/>
    </row>
    <row r="194" spans="12:17" x14ac:dyDescent="0.3">
      <c r="L194" s="5"/>
      <c r="M194" s="5"/>
      <c r="N194" s="5"/>
      <c r="O194" s="5"/>
      <c r="P194" s="80"/>
      <c r="Q194" s="5"/>
    </row>
    <row r="195" spans="12:17" x14ac:dyDescent="0.3">
      <c r="L195" s="5"/>
      <c r="M195" s="5"/>
      <c r="N195" s="5"/>
      <c r="O195" s="5"/>
      <c r="P195" s="80"/>
      <c r="Q195" s="5"/>
    </row>
    <row r="196" spans="12:17" x14ac:dyDescent="0.3">
      <c r="L196" s="5"/>
      <c r="M196" s="5"/>
      <c r="N196" s="5"/>
      <c r="O196" s="5"/>
      <c r="P196" s="80"/>
      <c r="Q196" s="5"/>
    </row>
    <row r="197" spans="12:17" x14ac:dyDescent="0.3">
      <c r="L197" s="5"/>
      <c r="M197" s="5"/>
      <c r="N197" s="5"/>
      <c r="O197" s="5"/>
      <c r="P197" s="80"/>
      <c r="Q197" s="5"/>
    </row>
    <row r="198" spans="12:17" x14ac:dyDescent="0.3">
      <c r="L198" s="5"/>
      <c r="M198" s="5"/>
      <c r="N198" s="5"/>
      <c r="O198" s="5"/>
      <c r="P198" s="80"/>
      <c r="Q198" s="5"/>
    </row>
    <row r="199" spans="12:17" x14ac:dyDescent="0.3">
      <c r="L199" s="5"/>
      <c r="M199" s="5"/>
      <c r="N199" s="5"/>
      <c r="O199" s="5"/>
      <c r="P199" s="80"/>
      <c r="Q199" s="5"/>
    </row>
    <row r="200" spans="12:17" x14ac:dyDescent="0.3">
      <c r="L200" s="5"/>
      <c r="M200" s="5"/>
      <c r="N200" s="5"/>
      <c r="O200" s="5"/>
      <c r="P200" s="80"/>
      <c r="Q200" s="5"/>
    </row>
    <row r="201" spans="12:17" x14ac:dyDescent="0.3">
      <c r="L201" s="5"/>
      <c r="M201" s="5"/>
      <c r="N201" s="5"/>
      <c r="O201" s="5"/>
      <c r="P201" s="80"/>
      <c r="Q201" s="5"/>
    </row>
    <row r="202" spans="12:17" x14ac:dyDescent="0.3">
      <c r="L202" s="5"/>
      <c r="M202" s="5"/>
      <c r="N202" s="5"/>
      <c r="O202" s="5"/>
      <c r="P202" s="80"/>
      <c r="Q202" s="5"/>
    </row>
    <row r="203" spans="12:17" x14ac:dyDescent="0.3">
      <c r="L203" s="5"/>
      <c r="M203" s="5"/>
      <c r="N203" s="5"/>
      <c r="O203" s="5"/>
      <c r="P203" s="80"/>
      <c r="Q203" s="5"/>
    </row>
    <row r="204" spans="12:17" x14ac:dyDescent="0.3">
      <c r="L204" s="5"/>
      <c r="M204" s="5"/>
      <c r="N204" s="5"/>
      <c r="O204" s="5"/>
      <c r="P204" s="80"/>
      <c r="Q204" s="5"/>
    </row>
    <row r="205" spans="12:17" x14ac:dyDescent="0.3">
      <c r="L205" s="5"/>
      <c r="M205" s="5"/>
      <c r="N205" s="5"/>
      <c r="O205" s="5"/>
      <c r="P205" s="80"/>
      <c r="Q205" s="5"/>
    </row>
    <row r="206" spans="12:17" x14ac:dyDescent="0.3">
      <c r="L206" s="5"/>
      <c r="M206" s="5"/>
      <c r="N206" s="5"/>
      <c r="O206" s="5"/>
      <c r="P206" s="80"/>
      <c r="Q206" s="5"/>
    </row>
    <row r="207" spans="12:17" x14ac:dyDescent="0.3">
      <c r="L207" s="5"/>
      <c r="M207" s="5"/>
      <c r="N207" s="5"/>
      <c r="O207" s="5"/>
      <c r="P207" s="80"/>
      <c r="Q207" s="5"/>
    </row>
    <row r="208" spans="12:17" x14ac:dyDescent="0.3">
      <c r="L208" s="5"/>
      <c r="M208" s="5"/>
      <c r="N208" s="5"/>
      <c r="O208" s="5"/>
      <c r="P208" s="80"/>
      <c r="Q208" s="5"/>
    </row>
    <row r="209" spans="12:17" x14ac:dyDescent="0.3">
      <c r="L209" s="5"/>
      <c r="M209" s="5"/>
      <c r="N209" s="5"/>
      <c r="O209" s="5"/>
      <c r="P209" s="80"/>
      <c r="Q209" s="5"/>
    </row>
    <row r="210" spans="12:17" x14ac:dyDescent="0.3">
      <c r="L210" s="5"/>
      <c r="M210" s="5"/>
      <c r="N210" s="5"/>
      <c r="O210" s="5"/>
      <c r="P210" s="80"/>
      <c r="Q210" s="5"/>
    </row>
    <row r="211" spans="12:17" x14ac:dyDescent="0.3">
      <c r="L211" s="5"/>
      <c r="M211" s="5"/>
      <c r="N211" s="5"/>
      <c r="O211" s="5"/>
      <c r="P211" s="80"/>
      <c r="Q211" s="5"/>
    </row>
    <row r="212" spans="12:17" x14ac:dyDescent="0.3">
      <c r="L212" s="5"/>
      <c r="M212" s="5"/>
      <c r="N212" s="5"/>
      <c r="O212" s="5"/>
      <c r="P212" s="80"/>
      <c r="Q212" s="5"/>
    </row>
    <row r="213" spans="12:17" x14ac:dyDescent="0.3">
      <c r="L213" s="5"/>
      <c r="M213" s="5"/>
      <c r="N213" s="5"/>
      <c r="O213" s="5"/>
      <c r="P213" s="80"/>
      <c r="Q213" s="5"/>
    </row>
    <row r="214" spans="12:17" x14ac:dyDescent="0.3">
      <c r="L214" s="5"/>
      <c r="M214" s="5"/>
      <c r="N214" s="5"/>
      <c r="O214" s="5"/>
      <c r="P214" s="80"/>
      <c r="Q214" s="5"/>
    </row>
    <row r="215" spans="12:17" x14ac:dyDescent="0.3">
      <c r="L215" s="5"/>
      <c r="M215" s="5"/>
      <c r="N215" s="5"/>
      <c r="O215" s="5"/>
      <c r="P215" s="80"/>
      <c r="Q215" s="5"/>
    </row>
    <row r="216" spans="12:17" x14ac:dyDescent="0.3">
      <c r="L216" s="5"/>
      <c r="M216" s="5"/>
      <c r="N216" s="5"/>
      <c r="O216" s="5"/>
      <c r="P216" s="80"/>
      <c r="Q216" s="5"/>
    </row>
    <row r="217" spans="12:17" x14ac:dyDescent="0.3">
      <c r="L217" s="5"/>
      <c r="M217" s="5"/>
      <c r="N217" s="5"/>
      <c r="O217" s="5"/>
      <c r="P217" s="80"/>
      <c r="Q217" s="5"/>
    </row>
    <row r="218" spans="12:17" x14ac:dyDescent="0.3">
      <c r="L218" s="5"/>
      <c r="M218" s="5"/>
      <c r="N218" s="5"/>
      <c r="O218" s="5"/>
      <c r="P218" s="80"/>
      <c r="Q218" s="5"/>
    </row>
    <row r="219" spans="12:17" x14ac:dyDescent="0.3">
      <c r="L219" s="5"/>
      <c r="M219" s="5"/>
      <c r="N219" s="5"/>
      <c r="O219" s="5"/>
      <c r="P219" s="80"/>
      <c r="Q219" s="5"/>
    </row>
    <row r="220" spans="12:17" x14ac:dyDescent="0.3">
      <c r="L220" s="5"/>
      <c r="M220" s="5"/>
      <c r="N220" s="5"/>
      <c r="O220" s="5"/>
      <c r="P220" s="80"/>
      <c r="Q220" s="5"/>
    </row>
    <row r="221" spans="12:17" x14ac:dyDescent="0.3">
      <c r="L221" s="5"/>
      <c r="M221" s="5"/>
      <c r="N221" s="5"/>
      <c r="O221" s="5"/>
      <c r="P221" s="80"/>
      <c r="Q221" s="5"/>
    </row>
    <row r="222" spans="12:17" x14ac:dyDescent="0.3">
      <c r="L222" s="5"/>
      <c r="M222" s="5"/>
      <c r="N222" s="5"/>
      <c r="O222" s="5"/>
      <c r="P222" s="80"/>
      <c r="Q222" s="5"/>
    </row>
    <row r="223" spans="12:17" x14ac:dyDescent="0.3">
      <c r="L223" s="5"/>
      <c r="M223" s="5"/>
      <c r="N223" s="5"/>
      <c r="O223" s="5"/>
      <c r="P223" s="80"/>
      <c r="Q223" s="5"/>
    </row>
    <row r="224" spans="12:17" x14ac:dyDescent="0.3">
      <c r="L224" s="5"/>
      <c r="M224" s="5"/>
      <c r="N224" s="5"/>
      <c r="O224" s="5"/>
      <c r="P224" s="80"/>
      <c r="Q224" s="5"/>
    </row>
    <row r="225" spans="12:17" x14ac:dyDescent="0.3">
      <c r="L225" s="5"/>
      <c r="M225" s="5"/>
      <c r="N225" s="5"/>
      <c r="O225" s="5"/>
      <c r="P225" s="80"/>
      <c r="Q225" s="5"/>
    </row>
    <row r="226" spans="12:17" x14ac:dyDescent="0.3">
      <c r="L226" s="5"/>
      <c r="M226" s="5"/>
      <c r="N226" s="5"/>
      <c r="O226" s="5"/>
      <c r="P226" s="80"/>
      <c r="Q226" s="5"/>
    </row>
    <row r="227" spans="12:17" x14ac:dyDescent="0.3">
      <c r="L227" s="5"/>
      <c r="M227" s="5"/>
      <c r="N227" s="5"/>
      <c r="O227" s="5"/>
      <c r="P227" s="80"/>
      <c r="Q227" s="5"/>
    </row>
    <row r="228" spans="12:17" x14ac:dyDescent="0.3">
      <c r="L228" s="5"/>
      <c r="M228" s="5"/>
      <c r="N228" s="5"/>
      <c r="O228" s="5"/>
      <c r="P228" s="80"/>
      <c r="Q228" s="5"/>
    </row>
    <row r="229" spans="12:17" x14ac:dyDescent="0.3">
      <c r="L229" s="5"/>
      <c r="M229" s="5"/>
      <c r="N229" s="5"/>
      <c r="O229" s="5"/>
      <c r="P229" s="80"/>
      <c r="Q229" s="5"/>
    </row>
    <row r="230" spans="12:17" x14ac:dyDescent="0.3">
      <c r="L230" s="5"/>
      <c r="M230" s="5"/>
      <c r="N230" s="5"/>
      <c r="O230" s="5"/>
      <c r="P230" s="80"/>
      <c r="Q230" s="5"/>
    </row>
    <row r="231" spans="12:17" x14ac:dyDescent="0.3">
      <c r="L231" s="5"/>
      <c r="M231" s="5"/>
      <c r="N231" s="5"/>
      <c r="O231" s="5"/>
      <c r="P231" s="80"/>
      <c r="Q231" s="5"/>
    </row>
    <row r="232" spans="12:17" x14ac:dyDescent="0.3">
      <c r="L232" s="5"/>
      <c r="M232" s="5"/>
      <c r="N232" s="5"/>
      <c r="O232" s="5"/>
      <c r="P232" s="80"/>
      <c r="Q232" s="5"/>
    </row>
    <row r="233" spans="12:17" x14ac:dyDescent="0.3">
      <c r="L233" s="5"/>
      <c r="M233" s="5"/>
      <c r="N233" s="5"/>
      <c r="O233" s="5"/>
      <c r="P233" s="80"/>
      <c r="Q233" s="5"/>
    </row>
    <row r="234" spans="12:17" x14ac:dyDescent="0.3">
      <c r="L234" s="5"/>
      <c r="M234" s="5"/>
      <c r="N234" s="5"/>
      <c r="O234" s="5"/>
      <c r="P234" s="80"/>
      <c r="Q234" s="5"/>
    </row>
    <row r="235" spans="12:17" x14ac:dyDescent="0.3">
      <c r="L235" s="5"/>
      <c r="M235" s="5"/>
      <c r="N235" s="5"/>
      <c r="O235" s="5"/>
      <c r="P235" s="80"/>
      <c r="Q235" s="5"/>
    </row>
    <row r="236" spans="12:17" x14ac:dyDescent="0.3">
      <c r="L236" s="5"/>
      <c r="M236" s="5"/>
      <c r="N236" s="5"/>
      <c r="O236" s="5"/>
      <c r="P236" s="80"/>
      <c r="Q236" s="5"/>
    </row>
    <row r="237" spans="12:17" x14ac:dyDescent="0.3">
      <c r="L237" s="5"/>
      <c r="M237" s="5"/>
      <c r="N237" s="5"/>
      <c r="O237" s="5"/>
      <c r="P237" s="80"/>
      <c r="Q237" s="5"/>
    </row>
    <row r="238" spans="12:17" x14ac:dyDescent="0.3">
      <c r="L238" s="5"/>
      <c r="M238" s="5"/>
      <c r="N238" s="5"/>
      <c r="O238" s="5"/>
      <c r="P238" s="80"/>
      <c r="Q238" s="5"/>
    </row>
    <row r="239" spans="12:17" x14ac:dyDescent="0.3">
      <c r="L239" s="5"/>
      <c r="M239" s="5"/>
      <c r="N239" s="5"/>
      <c r="O239" s="5"/>
      <c r="P239" s="80"/>
      <c r="Q239" s="5"/>
    </row>
    <row r="240" spans="12:17" x14ac:dyDescent="0.3">
      <c r="L240" s="5"/>
      <c r="M240" s="5"/>
      <c r="N240" s="5"/>
      <c r="O240" s="5"/>
      <c r="P240" s="80"/>
      <c r="Q240" s="5"/>
    </row>
    <row r="241" spans="12:17" x14ac:dyDescent="0.3">
      <c r="L241" s="5"/>
      <c r="M241" s="5"/>
      <c r="N241" s="5"/>
      <c r="O241" s="5"/>
      <c r="P241" s="80"/>
      <c r="Q241" s="5"/>
    </row>
    <row r="242" spans="12:17" x14ac:dyDescent="0.3">
      <c r="L242" s="5"/>
      <c r="M242" s="5"/>
      <c r="N242" s="5"/>
      <c r="O242" s="5"/>
      <c r="P242" s="80"/>
      <c r="Q242" s="5"/>
    </row>
    <row r="243" spans="12:17" x14ac:dyDescent="0.3">
      <c r="L243" s="5"/>
      <c r="M243" s="5"/>
      <c r="N243" s="5"/>
      <c r="O243" s="5"/>
      <c r="P243" s="80"/>
      <c r="Q243" s="5"/>
    </row>
    <row r="244" spans="12:17" x14ac:dyDescent="0.3">
      <c r="L244" s="5"/>
      <c r="M244" s="5"/>
      <c r="N244" s="5"/>
      <c r="O244" s="5"/>
      <c r="P244" s="80"/>
      <c r="Q244" s="5"/>
    </row>
    <row r="245" spans="12:17" x14ac:dyDescent="0.3">
      <c r="L245" s="5"/>
      <c r="M245" s="5"/>
      <c r="N245" s="5"/>
      <c r="O245" s="5"/>
      <c r="P245" s="80"/>
      <c r="Q245" s="5"/>
    </row>
    <row r="246" spans="12:17" x14ac:dyDescent="0.3">
      <c r="L246" s="5"/>
      <c r="M246" s="5"/>
      <c r="N246" s="5"/>
      <c r="O246" s="5"/>
      <c r="P246" s="80"/>
      <c r="Q246" s="5"/>
    </row>
    <row r="247" spans="12:17" x14ac:dyDescent="0.3">
      <c r="L247" s="5"/>
      <c r="M247" s="5"/>
      <c r="N247" s="5"/>
      <c r="O247" s="5"/>
      <c r="P247" s="80"/>
      <c r="Q247" s="5"/>
    </row>
    <row r="248" spans="12:17" x14ac:dyDescent="0.3">
      <c r="L248" s="5"/>
      <c r="M248" s="5"/>
      <c r="N248" s="5"/>
      <c r="O248" s="5"/>
      <c r="P248" s="80"/>
      <c r="Q248" s="5"/>
    </row>
    <row r="249" spans="12:17" x14ac:dyDescent="0.3">
      <c r="L249" s="5"/>
      <c r="M249" s="5"/>
      <c r="N249" s="5"/>
      <c r="O249" s="5"/>
      <c r="P249" s="80"/>
      <c r="Q249" s="5"/>
    </row>
    <row r="250" spans="12:17" x14ac:dyDescent="0.3">
      <c r="L250" s="5"/>
      <c r="M250" s="5"/>
      <c r="N250" s="5"/>
      <c r="O250" s="5"/>
      <c r="P250" s="80"/>
      <c r="Q250" s="5"/>
    </row>
    <row r="251" spans="12:17" x14ac:dyDescent="0.3">
      <c r="L251" s="5"/>
      <c r="M251" s="5"/>
      <c r="N251" s="5"/>
      <c r="O251" s="5"/>
      <c r="P251" s="80"/>
      <c r="Q251" s="5"/>
    </row>
    <row r="252" spans="12:17" x14ac:dyDescent="0.3">
      <c r="L252" s="5"/>
      <c r="M252" s="5"/>
      <c r="N252" s="5"/>
      <c r="O252" s="5"/>
      <c r="P252" s="80"/>
      <c r="Q252" s="5"/>
    </row>
    <row r="253" spans="12:17" x14ac:dyDescent="0.3">
      <c r="L253" s="5"/>
      <c r="M253" s="5"/>
      <c r="N253" s="5"/>
      <c r="O253" s="5"/>
      <c r="P253" s="80"/>
      <c r="Q253" s="5"/>
    </row>
    <row r="254" spans="12:17" x14ac:dyDescent="0.3">
      <c r="L254" s="5"/>
      <c r="M254" s="5"/>
      <c r="N254" s="5"/>
      <c r="O254" s="5"/>
      <c r="P254" s="80"/>
      <c r="Q254" s="5"/>
    </row>
    <row r="255" spans="12:17" x14ac:dyDescent="0.3">
      <c r="L255" s="5"/>
      <c r="M255" s="5"/>
      <c r="N255" s="5"/>
      <c r="O255" s="5"/>
      <c r="P255" s="80"/>
      <c r="Q255" s="5"/>
    </row>
    <row r="256" spans="12:17" x14ac:dyDescent="0.3">
      <c r="L256" s="5"/>
      <c r="M256" s="5"/>
      <c r="N256" s="5"/>
      <c r="O256" s="5"/>
      <c r="P256" s="80"/>
      <c r="Q256" s="5"/>
    </row>
    <row r="257" spans="12:17" x14ac:dyDescent="0.3">
      <c r="L257" s="5"/>
      <c r="M257" s="5"/>
      <c r="N257" s="5"/>
      <c r="O257" s="5"/>
      <c r="P257" s="80"/>
      <c r="Q257" s="5"/>
    </row>
    <row r="258" spans="12:17" x14ac:dyDescent="0.3">
      <c r="L258" s="5"/>
      <c r="M258" s="5"/>
      <c r="N258" s="5"/>
      <c r="O258" s="5"/>
      <c r="P258" s="80"/>
      <c r="Q258" s="5"/>
    </row>
    <row r="259" spans="12:17" x14ac:dyDescent="0.3">
      <c r="L259" s="5"/>
      <c r="M259" s="5"/>
      <c r="N259" s="5"/>
      <c r="O259" s="5"/>
      <c r="P259" s="80"/>
      <c r="Q259" s="5"/>
    </row>
    <row r="260" spans="12:17" x14ac:dyDescent="0.3">
      <c r="L260" s="5"/>
      <c r="M260" s="5"/>
      <c r="N260" s="5"/>
      <c r="O260" s="5"/>
      <c r="P260" s="80"/>
      <c r="Q260" s="5"/>
    </row>
    <row r="261" spans="12:17" x14ac:dyDescent="0.3">
      <c r="L261" s="5"/>
      <c r="M261" s="5"/>
      <c r="N261" s="5"/>
      <c r="O261" s="5"/>
      <c r="P261" s="80"/>
      <c r="Q261" s="5"/>
    </row>
    <row r="262" spans="12:17" x14ac:dyDescent="0.3">
      <c r="L262" s="5"/>
      <c r="M262" s="5"/>
      <c r="N262" s="5"/>
      <c r="O262" s="5"/>
      <c r="P262" s="80"/>
      <c r="Q262" s="5"/>
    </row>
    <row r="263" spans="12:17" x14ac:dyDescent="0.3">
      <c r="L263" s="5"/>
      <c r="M263" s="5"/>
      <c r="N263" s="5"/>
      <c r="O263" s="5"/>
      <c r="P263" s="80"/>
      <c r="Q263" s="5"/>
    </row>
    <row r="264" spans="12:17" x14ac:dyDescent="0.3">
      <c r="L264" s="5"/>
      <c r="M264" s="5"/>
      <c r="N264" s="5"/>
      <c r="O264" s="5"/>
      <c r="P264" s="80"/>
      <c r="Q264" s="5"/>
    </row>
    <row r="265" spans="12:17" x14ac:dyDescent="0.3">
      <c r="L265" s="5"/>
      <c r="M265" s="5"/>
      <c r="N265" s="5"/>
      <c r="O265" s="5"/>
      <c r="P265" s="80"/>
      <c r="Q265" s="5"/>
    </row>
    <row r="266" spans="12:17" x14ac:dyDescent="0.3">
      <c r="L266" s="5"/>
      <c r="M266" s="5"/>
      <c r="N266" s="5"/>
      <c r="O266" s="5"/>
      <c r="P266" s="80"/>
      <c r="Q266" s="5"/>
    </row>
    <row r="267" spans="12:17" x14ac:dyDescent="0.3">
      <c r="L267" s="5"/>
      <c r="M267" s="5"/>
      <c r="N267" s="5"/>
      <c r="O267" s="5"/>
      <c r="P267" s="80"/>
      <c r="Q267" s="5"/>
    </row>
    <row r="268" spans="12:17" x14ac:dyDescent="0.3">
      <c r="L268" s="5"/>
      <c r="M268" s="5"/>
      <c r="N268" s="5"/>
      <c r="O268" s="5"/>
      <c r="P268" s="80"/>
      <c r="Q268" s="5"/>
    </row>
    <row r="269" spans="12:17" x14ac:dyDescent="0.3">
      <c r="L269" s="5"/>
      <c r="M269" s="5"/>
      <c r="N269" s="5"/>
      <c r="O269" s="5"/>
      <c r="P269" s="80"/>
      <c r="Q269" s="5"/>
    </row>
    <row r="270" spans="12:17" x14ac:dyDescent="0.3">
      <c r="L270" s="5"/>
      <c r="M270" s="5"/>
      <c r="N270" s="5"/>
      <c r="O270" s="5"/>
      <c r="P270" s="80"/>
      <c r="Q270" s="5"/>
    </row>
    <row r="271" spans="12:17" x14ac:dyDescent="0.3">
      <c r="L271" s="5"/>
      <c r="M271" s="5"/>
      <c r="N271" s="5"/>
      <c r="O271" s="5"/>
      <c r="P271" s="80"/>
      <c r="Q271" s="5"/>
    </row>
    <row r="272" spans="12:17" x14ac:dyDescent="0.3">
      <c r="L272" s="5"/>
      <c r="M272" s="5"/>
      <c r="N272" s="5"/>
      <c r="O272" s="5"/>
      <c r="P272" s="80"/>
      <c r="Q272" s="5"/>
    </row>
    <row r="273" spans="12:17" x14ac:dyDescent="0.3">
      <c r="L273" s="5"/>
      <c r="M273" s="5"/>
      <c r="N273" s="5"/>
      <c r="O273" s="5"/>
      <c r="P273" s="80"/>
      <c r="Q273" s="5"/>
    </row>
    <row r="274" spans="12:17" x14ac:dyDescent="0.3">
      <c r="L274" s="5"/>
      <c r="M274" s="5"/>
      <c r="N274" s="5"/>
      <c r="O274" s="5"/>
      <c r="P274" s="80"/>
      <c r="Q274" s="5"/>
    </row>
    <row r="275" spans="12:17" x14ac:dyDescent="0.3">
      <c r="L275" s="5"/>
      <c r="M275" s="5"/>
      <c r="N275" s="5"/>
      <c r="O275" s="5"/>
      <c r="P275" s="80"/>
      <c r="Q275" s="5"/>
    </row>
    <row r="276" spans="12:17" x14ac:dyDescent="0.3">
      <c r="L276" s="5"/>
      <c r="M276" s="5"/>
      <c r="N276" s="5"/>
      <c r="O276" s="5"/>
      <c r="P276" s="80"/>
      <c r="Q276" s="5"/>
    </row>
    <row r="277" spans="12:17" x14ac:dyDescent="0.3">
      <c r="L277" s="5"/>
      <c r="M277" s="5"/>
      <c r="N277" s="5"/>
      <c r="O277" s="5"/>
      <c r="P277" s="80"/>
      <c r="Q277" s="5"/>
    </row>
    <row r="278" spans="12:17" x14ac:dyDescent="0.3">
      <c r="L278" s="5"/>
      <c r="M278" s="5"/>
      <c r="N278" s="5"/>
      <c r="O278" s="5"/>
      <c r="P278" s="80"/>
      <c r="Q278" s="5"/>
    </row>
    <row r="279" spans="12:17" x14ac:dyDescent="0.3">
      <c r="L279" s="5"/>
      <c r="M279" s="5"/>
      <c r="N279" s="5"/>
      <c r="O279" s="5"/>
      <c r="P279" s="80"/>
      <c r="Q279" s="5"/>
    </row>
    <row r="280" spans="12:17" x14ac:dyDescent="0.3">
      <c r="L280" s="5"/>
      <c r="M280" s="5"/>
      <c r="N280" s="5"/>
      <c r="O280" s="5"/>
      <c r="P280" s="80"/>
      <c r="Q280" s="5"/>
    </row>
    <row r="281" spans="12:17" x14ac:dyDescent="0.3">
      <c r="L281" s="5"/>
      <c r="M281" s="5"/>
      <c r="N281" s="5"/>
      <c r="O281" s="5"/>
      <c r="P281" s="80"/>
      <c r="Q281" s="5"/>
    </row>
    <row r="282" spans="12:17" x14ac:dyDescent="0.3">
      <c r="L282" s="5"/>
      <c r="M282" s="5"/>
      <c r="N282" s="5"/>
      <c r="O282" s="5"/>
      <c r="P282" s="80"/>
      <c r="Q282" s="5"/>
    </row>
    <row r="283" spans="12:17" x14ac:dyDescent="0.3">
      <c r="L283" s="5"/>
      <c r="M283" s="5"/>
      <c r="N283" s="5"/>
      <c r="O283" s="5"/>
      <c r="P283" s="80"/>
      <c r="Q283" s="5"/>
    </row>
    <row r="284" spans="12:17" x14ac:dyDescent="0.3">
      <c r="L284" s="5"/>
      <c r="M284" s="5"/>
      <c r="N284" s="5"/>
      <c r="O284" s="5"/>
      <c r="P284" s="80"/>
      <c r="Q284" s="5"/>
    </row>
    <row r="285" spans="12:17" x14ac:dyDescent="0.3">
      <c r="L285" s="5"/>
      <c r="M285" s="5"/>
      <c r="N285" s="5"/>
      <c r="O285" s="5"/>
      <c r="P285" s="80"/>
      <c r="Q285" s="5"/>
    </row>
    <row r="286" spans="12:17" x14ac:dyDescent="0.3">
      <c r="L286" s="5"/>
      <c r="M286" s="5"/>
      <c r="N286" s="5"/>
      <c r="O286" s="5"/>
      <c r="P286" s="80"/>
      <c r="Q286" s="5"/>
    </row>
    <row r="287" spans="12:17" x14ac:dyDescent="0.3">
      <c r="L287" s="5"/>
      <c r="M287" s="5"/>
      <c r="N287" s="5"/>
      <c r="O287" s="5"/>
      <c r="P287" s="80"/>
      <c r="Q287" s="5"/>
    </row>
    <row r="288" spans="12:17" x14ac:dyDescent="0.3">
      <c r="L288" s="5"/>
      <c r="M288" s="5"/>
      <c r="N288" s="5"/>
      <c r="O288" s="5"/>
      <c r="P288" s="80"/>
      <c r="Q288" s="5"/>
    </row>
    <row r="289" spans="12:17" x14ac:dyDescent="0.3">
      <c r="L289" s="5"/>
      <c r="M289" s="5"/>
      <c r="N289" s="5"/>
      <c r="O289" s="5"/>
      <c r="P289" s="80"/>
      <c r="Q289" s="5"/>
    </row>
    <row r="290" spans="12:17" x14ac:dyDescent="0.3">
      <c r="L290" s="5"/>
      <c r="M290" s="5"/>
      <c r="N290" s="5"/>
      <c r="O290" s="5"/>
      <c r="P290" s="80"/>
      <c r="Q290" s="5"/>
    </row>
    <row r="291" spans="12:17" x14ac:dyDescent="0.3">
      <c r="L291" s="5"/>
      <c r="M291" s="5"/>
      <c r="N291" s="5"/>
      <c r="O291" s="5"/>
      <c r="P291" s="80"/>
      <c r="Q291" s="5"/>
    </row>
    <row r="292" spans="12:17" x14ac:dyDescent="0.3">
      <c r="L292" s="5"/>
      <c r="M292" s="5"/>
      <c r="N292" s="5"/>
      <c r="O292" s="5"/>
      <c r="P292" s="80"/>
      <c r="Q292" s="5"/>
    </row>
    <row r="293" spans="12:17" x14ac:dyDescent="0.3">
      <c r="L293" s="5"/>
      <c r="M293" s="5"/>
      <c r="N293" s="5"/>
      <c r="O293" s="5"/>
      <c r="P293" s="80"/>
      <c r="Q293" s="5"/>
    </row>
    <row r="294" spans="12:17" x14ac:dyDescent="0.3">
      <c r="L294" s="5"/>
      <c r="M294" s="5"/>
      <c r="N294" s="5"/>
      <c r="O294" s="5"/>
      <c r="P294" s="80"/>
      <c r="Q294" s="5"/>
    </row>
    <row r="295" spans="12:17" x14ac:dyDescent="0.3">
      <c r="L295" s="5"/>
      <c r="M295" s="5"/>
      <c r="N295" s="5"/>
      <c r="O295" s="5"/>
      <c r="P295" s="80"/>
      <c r="Q295" s="5"/>
    </row>
    <row r="296" spans="12:17" x14ac:dyDescent="0.3">
      <c r="L296" s="5"/>
      <c r="M296" s="5"/>
      <c r="N296" s="5"/>
      <c r="O296" s="5"/>
      <c r="P296" s="80"/>
      <c r="Q296" s="5"/>
    </row>
    <row r="297" spans="12:17" x14ac:dyDescent="0.3">
      <c r="L297" s="5"/>
      <c r="M297" s="5"/>
      <c r="N297" s="5"/>
      <c r="O297" s="5"/>
      <c r="P297" s="80"/>
      <c r="Q297" s="5"/>
    </row>
    <row r="298" spans="12:17" x14ac:dyDescent="0.3">
      <c r="L298" s="5"/>
      <c r="M298" s="5"/>
      <c r="N298" s="5"/>
      <c r="O298" s="5"/>
      <c r="P298" s="80"/>
      <c r="Q298" s="5"/>
    </row>
    <row r="299" spans="12:17" x14ac:dyDescent="0.3">
      <c r="L299" s="5"/>
      <c r="M299" s="5"/>
      <c r="N299" s="5"/>
      <c r="O299" s="5"/>
      <c r="P299" s="80"/>
      <c r="Q299" s="5"/>
    </row>
    <row r="300" spans="12:17" x14ac:dyDescent="0.3">
      <c r="L300" s="5"/>
      <c r="M300" s="5"/>
      <c r="N300" s="5"/>
      <c r="O300" s="5"/>
      <c r="P300" s="80"/>
      <c r="Q300" s="5"/>
    </row>
    <row r="301" spans="12:17" x14ac:dyDescent="0.3">
      <c r="L301" s="5"/>
      <c r="M301" s="5"/>
      <c r="N301" s="5"/>
      <c r="O301" s="5"/>
      <c r="P301" s="80"/>
      <c r="Q301" s="5"/>
    </row>
    <row r="302" spans="12:17" x14ac:dyDescent="0.3">
      <c r="L302" s="5"/>
      <c r="M302" s="5"/>
      <c r="N302" s="5"/>
      <c r="O302" s="5"/>
      <c r="P302" s="80"/>
      <c r="Q302" s="5"/>
    </row>
    <row r="303" spans="12:17" x14ac:dyDescent="0.3">
      <c r="L303" s="5"/>
      <c r="M303" s="5"/>
      <c r="N303" s="5"/>
      <c r="O303" s="5"/>
      <c r="P303" s="80"/>
      <c r="Q303" s="5"/>
    </row>
    <row r="304" spans="12:17" x14ac:dyDescent="0.3">
      <c r="L304" s="5"/>
      <c r="M304" s="5"/>
      <c r="N304" s="5"/>
      <c r="O304" s="5"/>
      <c r="P304" s="80"/>
      <c r="Q304" s="5"/>
    </row>
    <row r="305" spans="12:17" x14ac:dyDescent="0.3">
      <c r="L305" s="5"/>
      <c r="M305" s="5"/>
      <c r="N305" s="5"/>
      <c r="O305" s="5"/>
      <c r="P305" s="80"/>
      <c r="Q305" s="5"/>
    </row>
    <row r="306" spans="12:17" x14ac:dyDescent="0.3">
      <c r="L306" s="5"/>
      <c r="M306" s="5"/>
      <c r="N306" s="5"/>
      <c r="O306" s="5"/>
      <c r="P306" s="80"/>
      <c r="Q306" s="5"/>
    </row>
    <row r="307" spans="12:17" x14ac:dyDescent="0.3">
      <c r="L307" s="5"/>
      <c r="M307" s="5"/>
      <c r="N307" s="5"/>
      <c r="O307" s="5"/>
      <c r="P307" s="80"/>
      <c r="Q307" s="5"/>
    </row>
    <row r="308" spans="12:17" x14ac:dyDescent="0.3">
      <c r="L308" s="5"/>
      <c r="M308" s="5"/>
      <c r="N308" s="5"/>
      <c r="O308" s="5"/>
      <c r="P308" s="80"/>
      <c r="Q308" s="5"/>
    </row>
    <row r="309" spans="12:17" x14ac:dyDescent="0.3">
      <c r="L309" s="5"/>
      <c r="M309" s="5"/>
      <c r="N309" s="5"/>
      <c r="O309" s="5"/>
      <c r="P309" s="80"/>
      <c r="Q309" s="5"/>
    </row>
    <row r="310" spans="12:17" x14ac:dyDescent="0.3">
      <c r="L310" s="5"/>
      <c r="M310" s="5"/>
      <c r="N310" s="5"/>
      <c r="O310" s="5"/>
      <c r="P310" s="80"/>
      <c r="Q310" s="5"/>
    </row>
    <row r="311" spans="12:17" x14ac:dyDescent="0.3">
      <c r="L311" s="5"/>
      <c r="M311" s="5"/>
      <c r="N311" s="5"/>
      <c r="O311" s="5"/>
      <c r="P311" s="80"/>
      <c r="Q311" s="5"/>
    </row>
    <row r="312" spans="12:17" x14ac:dyDescent="0.3">
      <c r="L312" s="5"/>
      <c r="M312" s="5"/>
      <c r="N312" s="5"/>
      <c r="O312" s="5"/>
      <c r="P312" s="80"/>
      <c r="Q312" s="5"/>
    </row>
    <row r="313" spans="12:17" x14ac:dyDescent="0.3">
      <c r="L313" s="5"/>
      <c r="M313" s="5"/>
      <c r="N313" s="5"/>
      <c r="O313" s="5"/>
      <c r="P313" s="80"/>
      <c r="Q313" s="5"/>
    </row>
    <row r="314" spans="12:17" x14ac:dyDescent="0.3">
      <c r="L314" s="5"/>
      <c r="M314" s="5"/>
      <c r="N314" s="5"/>
      <c r="O314" s="5"/>
      <c r="P314" s="80"/>
      <c r="Q314" s="5"/>
    </row>
    <row r="315" spans="12:17" x14ac:dyDescent="0.3">
      <c r="L315" s="5"/>
      <c r="M315" s="5"/>
      <c r="N315" s="5"/>
      <c r="O315" s="5"/>
      <c r="P315" s="80"/>
      <c r="Q315" s="5"/>
    </row>
    <row r="316" spans="12:17" x14ac:dyDescent="0.3">
      <c r="L316" s="5"/>
      <c r="M316" s="5"/>
      <c r="N316" s="5"/>
      <c r="O316" s="5"/>
      <c r="P316" s="80"/>
      <c r="Q316" s="5"/>
    </row>
    <row r="317" spans="12:17" x14ac:dyDescent="0.3">
      <c r="L317" s="5"/>
      <c r="M317" s="5"/>
      <c r="N317" s="5"/>
      <c r="O317" s="5"/>
      <c r="P317" s="80"/>
      <c r="Q317" s="5"/>
    </row>
    <row r="318" spans="12:17" x14ac:dyDescent="0.3">
      <c r="L318" s="5"/>
      <c r="M318" s="5"/>
      <c r="N318" s="5"/>
      <c r="O318" s="5"/>
      <c r="P318" s="80"/>
      <c r="Q318" s="5"/>
    </row>
    <row r="319" spans="12:17" x14ac:dyDescent="0.3">
      <c r="L319" s="5"/>
      <c r="M319" s="5"/>
      <c r="N319" s="5"/>
      <c r="O319" s="5"/>
      <c r="P319" s="80"/>
      <c r="Q319" s="5"/>
    </row>
    <row r="320" spans="12:17" x14ac:dyDescent="0.3">
      <c r="L320" s="5"/>
      <c r="M320" s="5"/>
      <c r="N320" s="5"/>
      <c r="O320" s="5"/>
      <c r="P320" s="80"/>
      <c r="Q320" s="5"/>
    </row>
    <row r="321" spans="12:17" x14ac:dyDescent="0.3">
      <c r="L321" s="5"/>
      <c r="M321" s="5"/>
      <c r="N321" s="5"/>
      <c r="O321" s="5"/>
      <c r="P321" s="80"/>
      <c r="Q321" s="5"/>
    </row>
    <row r="322" spans="12:17" x14ac:dyDescent="0.3">
      <c r="L322" s="5"/>
      <c r="M322" s="5"/>
      <c r="N322" s="5"/>
      <c r="O322" s="5"/>
      <c r="P322" s="80"/>
      <c r="Q322" s="5"/>
    </row>
    <row r="323" spans="12:17" x14ac:dyDescent="0.3">
      <c r="L323" s="5"/>
      <c r="M323" s="5"/>
      <c r="N323" s="5"/>
      <c r="O323" s="5"/>
      <c r="P323" s="80"/>
      <c r="Q323" s="5"/>
    </row>
    <row r="324" spans="12:17" x14ac:dyDescent="0.3">
      <c r="L324" s="5"/>
      <c r="M324" s="5"/>
      <c r="N324" s="5"/>
      <c r="O324" s="5"/>
      <c r="P324" s="80"/>
      <c r="Q324" s="5"/>
    </row>
    <row r="325" spans="12:17" x14ac:dyDescent="0.3">
      <c r="L325" s="5"/>
      <c r="M325" s="5"/>
      <c r="N325" s="5"/>
      <c r="O325" s="5"/>
      <c r="P325" s="80"/>
      <c r="Q325" s="5"/>
    </row>
    <row r="326" spans="12:17" x14ac:dyDescent="0.3">
      <c r="L326" s="5"/>
      <c r="M326" s="5"/>
      <c r="N326" s="5"/>
      <c r="O326" s="5"/>
      <c r="P326" s="80"/>
      <c r="Q326" s="5"/>
    </row>
    <row r="327" spans="12:17" x14ac:dyDescent="0.3">
      <c r="L327" s="5"/>
      <c r="M327" s="5"/>
      <c r="N327" s="5"/>
      <c r="O327" s="5"/>
      <c r="P327" s="80"/>
      <c r="Q327" s="5"/>
    </row>
    <row r="328" spans="12:17" x14ac:dyDescent="0.3">
      <c r="L328" s="5"/>
      <c r="M328" s="5"/>
      <c r="N328" s="5"/>
      <c r="O328" s="5"/>
      <c r="P328" s="80"/>
      <c r="Q328" s="5"/>
    </row>
    <row r="329" spans="12:17" x14ac:dyDescent="0.3">
      <c r="L329" s="5"/>
      <c r="M329" s="5"/>
      <c r="N329" s="5"/>
      <c r="O329" s="5"/>
      <c r="P329" s="80"/>
      <c r="Q329" s="5"/>
    </row>
    <row r="330" spans="12:17" x14ac:dyDescent="0.3">
      <c r="L330" s="5"/>
      <c r="M330" s="5"/>
      <c r="N330" s="5"/>
      <c r="O330" s="5"/>
      <c r="P330" s="80"/>
      <c r="Q330" s="5"/>
    </row>
    <row r="331" spans="12:17" x14ac:dyDescent="0.3">
      <c r="L331" s="5"/>
      <c r="M331" s="5"/>
      <c r="N331" s="5"/>
      <c r="O331" s="5"/>
      <c r="P331" s="80"/>
      <c r="Q331" s="5"/>
    </row>
    <row r="332" spans="12:17" x14ac:dyDescent="0.3">
      <c r="L332" s="5"/>
      <c r="M332" s="5"/>
      <c r="N332" s="5"/>
      <c r="O332" s="5"/>
      <c r="P332" s="80"/>
      <c r="Q332" s="5"/>
    </row>
    <row r="333" spans="12:17" x14ac:dyDescent="0.3">
      <c r="L333" s="5"/>
      <c r="M333" s="5"/>
      <c r="N333" s="5"/>
      <c r="O333" s="5"/>
      <c r="P333" s="80"/>
      <c r="Q333" s="5"/>
    </row>
    <row r="334" spans="12:17" x14ac:dyDescent="0.3">
      <c r="L334" s="5"/>
      <c r="M334" s="5"/>
      <c r="N334" s="5"/>
      <c r="O334" s="5"/>
      <c r="P334" s="80"/>
      <c r="Q334" s="5"/>
    </row>
    <row r="335" spans="12:17" x14ac:dyDescent="0.3">
      <c r="L335" s="5"/>
      <c r="M335" s="5"/>
      <c r="N335" s="5"/>
      <c r="O335" s="5"/>
      <c r="P335" s="80"/>
      <c r="Q335" s="5"/>
    </row>
    <row r="336" spans="12:17" x14ac:dyDescent="0.3">
      <c r="L336" s="5"/>
      <c r="M336" s="5"/>
      <c r="N336" s="5"/>
      <c r="O336" s="5"/>
      <c r="P336" s="80"/>
      <c r="Q336" s="5"/>
    </row>
    <row r="337" spans="12:17" x14ac:dyDescent="0.3">
      <c r="L337" s="5"/>
      <c r="M337" s="5"/>
      <c r="N337" s="5"/>
      <c r="O337" s="5"/>
      <c r="P337" s="80"/>
      <c r="Q337" s="5"/>
    </row>
    <row r="338" spans="12:17" x14ac:dyDescent="0.3">
      <c r="L338" s="5"/>
      <c r="M338" s="5"/>
      <c r="N338" s="5"/>
      <c r="O338" s="5"/>
      <c r="P338" s="80"/>
      <c r="Q338" s="5"/>
    </row>
    <row r="339" spans="12:17" x14ac:dyDescent="0.3">
      <c r="L339" s="5"/>
      <c r="M339" s="5"/>
      <c r="N339" s="5"/>
      <c r="O339" s="5"/>
      <c r="P339" s="80"/>
      <c r="Q339" s="5"/>
    </row>
    <row r="340" spans="12:17" x14ac:dyDescent="0.3">
      <c r="L340" s="5"/>
      <c r="M340" s="5"/>
      <c r="N340" s="5"/>
      <c r="O340" s="5"/>
      <c r="P340" s="80"/>
      <c r="Q340" s="5"/>
    </row>
    <row r="341" spans="12:17" x14ac:dyDescent="0.3">
      <c r="L341" s="5"/>
      <c r="M341" s="5"/>
      <c r="N341" s="5"/>
      <c r="O341" s="5"/>
      <c r="P341" s="80"/>
      <c r="Q341" s="5"/>
    </row>
    <row r="342" spans="12:17" x14ac:dyDescent="0.3">
      <c r="L342" s="5"/>
      <c r="M342" s="5"/>
      <c r="N342" s="5"/>
      <c r="O342" s="5"/>
      <c r="P342" s="80"/>
      <c r="Q342" s="5"/>
    </row>
    <row r="343" spans="12:17" x14ac:dyDescent="0.3">
      <c r="L343" s="5"/>
      <c r="M343" s="5"/>
      <c r="N343" s="5"/>
      <c r="O343" s="5"/>
      <c r="P343" s="80"/>
      <c r="Q343" s="5"/>
    </row>
    <row r="344" spans="12:17" x14ac:dyDescent="0.3">
      <c r="L344" s="5"/>
      <c r="M344" s="5"/>
      <c r="N344" s="5"/>
      <c r="O344" s="5"/>
      <c r="P344" s="80"/>
      <c r="Q344" s="5"/>
    </row>
    <row r="345" spans="12:17" x14ac:dyDescent="0.3">
      <c r="L345" s="5"/>
      <c r="M345" s="5"/>
      <c r="N345" s="5"/>
      <c r="O345" s="5"/>
      <c r="P345" s="80"/>
      <c r="Q345" s="5"/>
    </row>
    <row r="346" spans="12:17" x14ac:dyDescent="0.3">
      <c r="L346" s="5"/>
      <c r="M346" s="5"/>
      <c r="N346" s="5"/>
      <c r="O346" s="5"/>
      <c r="P346" s="80"/>
      <c r="Q346" s="5"/>
    </row>
    <row r="347" spans="12:17" x14ac:dyDescent="0.3">
      <c r="L347" s="5"/>
      <c r="M347" s="5"/>
      <c r="N347" s="5"/>
      <c r="O347" s="5"/>
      <c r="P347" s="80"/>
      <c r="Q347" s="5"/>
    </row>
    <row r="348" spans="12:17" x14ac:dyDescent="0.3">
      <c r="L348" s="5"/>
      <c r="M348" s="5"/>
      <c r="N348" s="5"/>
      <c r="O348" s="5"/>
      <c r="P348" s="80"/>
      <c r="Q348" s="5"/>
    </row>
    <row r="349" spans="12:17" x14ac:dyDescent="0.3">
      <c r="L349" s="5"/>
      <c r="M349" s="5"/>
      <c r="N349" s="5"/>
      <c r="O349" s="5"/>
      <c r="P349" s="80"/>
      <c r="Q349" s="5"/>
    </row>
    <row r="350" spans="12:17" x14ac:dyDescent="0.3">
      <c r="L350" s="5"/>
      <c r="M350" s="5"/>
      <c r="N350" s="5"/>
      <c r="O350" s="5"/>
      <c r="P350" s="80"/>
      <c r="Q350" s="5"/>
    </row>
    <row r="351" spans="12:17" x14ac:dyDescent="0.3">
      <c r="L351" s="5"/>
      <c r="M351" s="5"/>
      <c r="N351" s="5"/>
      <c r="O351" s="5"/>
      <c r="P351" s="80"/>
      <c r="Q351" s="5"/>
    </row>
    <row r="352" spans="12:17" x14ac:dyDescent="0.3">
      <c r="L352" s="5"/>
      <c r="M352" s="5"/>
      <c r="N352" s="5"/>
      <c r="O352" s="5"/>
      <c r="P352" s="80"/>
      <c r="Q352" s="5"/>
    </row>
    <row r="353" spans="12:17" x14ac:dyDescent="0.3">
      <c r="L353" s="5"/>
      <c r="M353" s="5"/>
      <c r="N353" s="5"/>
      <c r="O353" s="5"/>
      <c r="P353" s="80"/>
      <c r="Q353" s="5"/>
    </row>
    <row r="354" spans="12:17" x14ac:dyDescent="0.3">
      <c r="L354" s="5"/>
      <c r="M354" s="5"/>
      <c r="N354" s="5"/>
      <c r="O354" s="5"/>
      <c r="P354" s="80"/>
      <c r="Q354" s="5"/>
    </row>
    <row r="355" spans="12:17" x14ac:dyDescent="0.3">
      <c r="L355" s="5"/>
      <c r="M355" s="5"/>
      <c r="N355" s="5"/>
      <c r="O355" s="5"/>
      <c r="P355" s="80"/>
      <c r="Q355" s="5"/>
    </row>
    <row r="356" spans="12:17" x14ac:dyDescent="0.3">
      <c r="L356" s="5"/>
      <c r="M356" s="5"/>
      <c r="N356" s="5"/>
      <c r="O356" s="5"/>
      <c r="P356" s="80"/>
      <c r="Q356" s="5"/>
    </row>
    <row r="357" spans="12:17" x14ac:dyDescent="0.3">
      <c r="L357" s="5"/>
      <c r="M357" s="5"/>
      <c r="N357" s="5"/>
      <c r="O357" s="5"/>
      <c r="P357" s="80"/>
      <c r="Q357" s="5"/>
    </row>
    <row r="358" spans="12:17" x14ac:dyDescent="0.3">
      <c r="L358" s="5"/>
      <c r="M358" s="5"/>
      <c r="N358" s="5"/>
      <c r="O358" s="5"/>
      <c r="P358" s="80"/>
      <c r="Q358" s="5"/>
    </row>
    <row r="359" spans="12:17" x14ac:dyDescent="0.3">
      <c r="L359" s="5"/>
      <c r="M359" s="5"/>
      <c r="N359" s="5"/>
      <c r="O359" s="5"/>
      <c r="P359" s="80"/>
      <c r="Q359" s="5"/>
    </row>
    <row r="360" spans="12:17" x14ac:dyDescent="0.3">
      <c r="L360" s="5"/>
      <c r="M360" s="5"/>
      <c r="N360" s="5"/>
      <c r="O360" s="5"/>
      <c r="P360" s="80"/>
      <c r="Q360" s="5"/>
    </row>
    <row r="361" spans="12:17" x14ac:dyDescent="0.3">
      <c r="L361" s="5"/>
      <c r="M361" s="5"/>
      <c r="N361" s="5"/>
      <c r="O361" s="5"/>
      <c r="P361" s="80"/>
      <c r="Q361" s="5"/>
    </row>
    <row r="362" spans="12:17" x14ac:dyDescent="0.3">
      <c r="L362" s="5"/>
      <c r="M362" s="5"/>
      <c r="N362" s="5"/>
      <c r="O362" s="5"/>
      <c r="P362" s="80"/>
      <c r="Q362" s="5"/>
    </row>
    <row r="363" spans="12:17" x14ac:dyDescent="0.3">
      <c r="L363" s="5"/>
      <c r="M363" s="5"/>
      <c r="N363" s="5"/>
      <c r="O363" s="5"/>
      <c r="P363" s="80"/>
      <c r="Q363" s="5"/>
    </row>
    <row r="364" spans="12:17" x14ac:dyDescent="0.3">
      <c r="L364" s="5"/>
      <c r="M364" s="5"/>
      <c r="N364" s="5"/>
      <c r="O364" s="5"/>
      <c r="P364" s="80"/>
      <c r="Q364" s="5"/>
    </row>
    <row r="365" spans="12:17" x14ac:dyDescent="0.3">
      <c r="L365" s="5"/>
      <c r="M365" s="5"/>
      <c r="N365" s="5"/>
      <c r="O365" s="5"/>
      <c r="P365" s="80"/>
      <c r="Q365" s="5"/>
    </row>
    <row r="366" spans="12:17" x14ac:dyDescent="0.3">
      <c r="L366" s="5"/>
      <c r="M366" s="5"/>
      <c r="N366" s="5"/>
      <c r="O366" s="5"/>
      <c r="P366" s="80"/>
      <c r="Q366" s="5"/>
    </row>
    <row r="367" spans="12:17" x14ac:dyDescent="0.3">
      <c r="L367" s="5"/>
      <c r="M367" s="5"/>
      <c r="N367" s="5"/>
      <c r="O367" s="5"/>
      <c r="P367" s="80"/>
      <c r="Q367" s="5"/>
    </row>
    <row r="368" spans="12:17" x14ac:dyDescent="0.3">
      <c r="L368" s="5"/>
      <c r="M368" s="5"/>
      <c r="N368" s="5"/>
      <c r="O368" s="5"/>
      <c r="P368" s="80"/>
      <c r="Q368" s="5"/>
    </row>
    <row r="369" spans="12:17" x14ac:dyDescent="0.3">
      <c r="L369" s="5"/>
      <c r="M369" s="5"/>
      <c r="N369" s="5"/>
      <c r="O369" s="5"/>
      <c r="P369" s="80"/>
      <c r="Q369" s="5"/>
    </row>
    <row r="370" spans="12:17" x14ac:dyDescent="0.3">
      <c r="L370" s="5"/>
      <c r="M370" s="5"/>
      <c r="N370" s="5"/>
      <c r="O370" s="5"/>
      <c r="P370" s="80"/>
      <c r="Q370" s="5"/>
    </row>
    <row r="371" spans="12:17" x14ac:dyDescent="0.3">
      <c r="L371" s="5"/>
      <c r="M371" s="5"/>
      <c r="N371" s="5"/>
      <c r="O371" s="5"/>
      <c r="P371" s="80"/>
      <c r="Q371" s="5"/>
    </row>
    <row r="372" spans="12:17" x14ac:dyDescent="0.3">
      <c r="L372" s="5"/>
      <c r="M372" s="5"/>
      <c r="N372" s="5"/>
      <c r="O372" s="5"/>
      <c r="P372" s="80"/>
      <c r="Q372" s="5"/>
    </row>
    <row r="373" spans="12:17" x14ac:dyDescent="0.3">
      <c r="L373" s="5"/>
      <c r="M373" s="5"/>
      <c r="N373" s="5"/>
      <c r="O373" s="5"/>
      <c r="P373" s="80"/>
      <c r="Q373" s="5"/>
    </row>
    <row r="374" spans="12:17" x14ac:dyDescent="0.3">
      <c r="L374" s="5"/>
      <c r="M374" s="5"/>
      <c r="N374" s="5"/>
      <c r="O374" s="5"/>
      <c r="P374" s="80"/>
      <c r="Q374" s="5"/>
    </row>
    <row r="375" spans="12:17" x14ac:dyDescent="0.3">
      <c r="L375" s="5"/>
      <c r="M375" s="5"/>
      <c r="N375" s="5"/>
      <c r="O375" s="5"/>
      <c r="P375" s="80"/>
      <c r="Q375" s="5"/>
    </row>
    <row r="376" spans="12:17" x14ac:dyDescent="0.3">
      <c r="L376" s="5"/>
      <c r="M376" s="5"/>
      <c r="N376" s="5"/>
      <c r="O376" s="5"/>
      <c r="P376" s="80"/>
      <c r="Q376" s="5"/>
    </row>
    <row r="377" spans="12:17" x14ac:dyDescent="0.3">
      <c r="L377" s="5"/>
      <c r="M377" s="5"/>
      <c r="N377" s="5"/>
      <c r="O377" s="5"/>
      <c r="P377" s="80"/>
      <c r="Q377" s="5"/>
    </row>
    <row r="378" spans="12:17" x14ac:dyDescent="0.3">
      <c r="L378" s="5"/>
      <c r="M378" s="5"/>
      <c r="N378" s="5"/>
      <c r="O378" s="5"/>
      <c r="P378" s="80"/>
      <c r="Q378" s="5"/>
    </row>
    <row r="379" spans="12:17" x14ac:dyDescent="0.3">
      <c r="L379" s="5"/>
      <c r="M379" s="5"/>
      <c r="N379" s="5"/>
      <c r="O379" s="5"/>
      <c r="P379" s="80"/>
      <c r="Q379" s="5"/>
    </row>
    <row r="380" spans="12:17" x14ac:dyDescent="0.3">
      <c r="L380" s="5"/>
      <c r="M380" s="5"/>
      <c r="N380" s="5"/>
      <c r="O380" s="5"/>
      <c r="P380" s="80"/>
      <c r="Q380" s="5"/>
    </row>
    <row r="381" spans="12:17" x14ac:dyDescent="0.3">
      <c r="L381" s="5"/>
      <c r="M381" s="5"/>
      <c r="N381" s="5"/>
      <c r="O381" s="5"/>
      <c r="P381" s="80"/>
      <c r="Q381" s="5"/>
    </row>
    <row r="382" spans="12:17" x14ac:dyDescent="0.3">
      <c r="L382" s="5"/>
      <c r="M382" s="5"/>
      <c r="N382" s="5"/>
      <c r="O382" s="5"/>
      <c r="P382" s="80"/>
      <c r="Q382" s="5"/>
    </row>
    <row r="383" spans="12:17" x14ac:dyDescent="0.3">
      <c r="L383" s="5"/>
      <c r="M383" s="5"/>
      <c r="N383" s="5"/>
      <c r="O383" s="5"/>
      <c r="P383" s="80"/>
      <c r="Q383" s="5"/>
    </row>
    <row r="384" spans="12:17" x14ac:dyDescent="0.3">
      <c r="L384" s="5"/>
      <c r="M384" s="5"/>
      <c r="N384" s="5"/>
      <c r="O384" s="5"/>
      <c r="P384" s="80"/>
      <c r="Q384" s="5"/>
    </row>
    <row r="385" spans="12:17" x14ac:dyDescent="0.3">
      <c r="L385" s="5"/>
      <c r="M385" s="5"/>
      <c r="N385" s="5"/>
      <c r="O385" s="5"/>
      <c r="P385" s="80"/>
      <c r="Q385" s="5"/>
    </row>
    <row r="386" spans="12:17" x14ac:dyDescent="0.3">
      <c r="L386" s="5"/>
      <c r="M386" s="5"/>
      <c r="N386" s="5"/>
      <c r="O386" s="5"/>
      <c r="P386" s="80"/>
      <c r="Q386" s="5"/>
    </row>
    <row r="387" spans="12:17" x14ac:dyDescent="0.3">
      <c r="L387" s="5"/>
      <c r="M387" s="5"/>
      <c r="N387" s="5"/>
      <c r="O387" s="5"/>
      <c r="P387" s="80"/>
      <c r="Q387" s="5"/>
    </row>
    <row r="388" spans="12:17" x14ac:dyDescent="0.3">
      <c r="L388" s="5"/>
      <c r="M388" s="5"/>
      <c r="N388" s="5"/>
      <c r="O388" s="5"/>
      <c r="P388" s="80"/>
      <c r="Q388" s="5"/>
    </row>
    <row r="389" spans="12:17" x14ac:dyDescent="0.3">
      <c r="L389" s="5"/>
      <c r="M389" s="5"/>
      <c r="N389" s="5"/>
      <c r="O389" s="5"/>
      <c r="P389" s="80"/>
      <c r="Q389" s="5"/>
    </row>
    <row r="390" spans="12:17" x14ac:dyDescent="0.3">
      <c r="L390" s="5"/>
      <c r="M390" s="5"/>
      <c r="N390" s="5"/>
      <c r="O390" s="5"/>
      <c r="P390" s="80"/>
      <c r="Q390" s="5"/>
    </row>
    <row r="391" spans="12:17" x14ac:dyDescent="0.3">
      <c r="L391" s="5"/>
      <c r="M391" s="5"/>
      <c r="N391" s="5"/>
      <c r="O391" s="5"/>
      <c r="P391" s="80"/>
      <c r="Q391" s="5"/>
    </row>
    <row r="392" spans="12:17" x14ac:dyDescent="0.3">
      <c r="L392" s="5"/>
      <c r="M392" s="5"/>
      <c r="N392" s="5"/>
      <c r="O392" s="5"/>
      <c r="P392" s="80"/>
      <c r="Q392" s="5"/>
    </row>
    <row r="393" spans="12:17" x14ac:dyDescent="0.3">
      <c r="L393" s="5"/>
      <c r="M393" s="5"/>
      <c r="N393" s="5"/>
      <c r="O393" s="5"/>
      <c r="P393" s="80"/>
      <c r="Q393" s="5"/>
    </row>
    <row r="394" spans="12:17" x14ac:dyDescent="0.3">
      <c r="L394" s="5"/>
      <c r="M394" s="5"/>
      <c r="N394" s="5"/>
      <c r="O394" s="5"/>
      <c r="P394" s="80"/>
      <c r="Q394" s="5"/>
    </row>
    <row r="395" spans="12:17" x14ac:dyDescent="0.3">
      <c r="L395" s="5"/>
      <c r="M395" s="5"/>
      <c r="N395" s="5"/>
      <c r="O395" s="5"/>
      <c r="P395" s="80"/>
      <c r="Q395" s="5"/>
    </row>
    <row r="396" spans="12:17" x14ac:dyDescent="0.3">
      <c r="L396" s="5"/>
      <c r="M396" s="5"/>
      <c r="N396" s="5"/>
      <c r="O396" s="5"/>
      <c r="P396" s="80"/>
      <c r="Q396" s="5"/>
    </row>
    <row r="397" spans="12:17" x14ac:dyDescent="0.3">
      <c r="L397" s="5"/>
      <c r="M397" s="5"/>
      <c r="N397" s="5"/>
      <c r="O397" s="5"/>
      <c r="P397" s="80"/>
      <c r="Q397" s="5"/>
    </row>
    <row r="398" spans="12:17" x14ac:dyDescent="0.3">
      <c r="L398" s="5"/>
      <c r="M398" s="5"/>
      <c r="N398" s="5"/>
      <c r="O398" s="5"/>
      <c r="P398" s="80"/>
      <c r="Q398" s="5"/>
    </row>
    <row r="399" spans="12:17" x14ac:dyDescent="0.3">
      <c r="L399" s="5"/>
      <c r="M399" s="5"/>
      <c r="N399" s="5"/>
      <c r="O399" s="5"/>
      <c r="P399" s="80"/>
      <c r="Q399" s="5"/>
    </row>
    <row r="400" spans="12:17" x14ac:dyDescent="0.3">
      <c r="L400" s="5"/>
      <c r="M400" s="5"/>
      <c r="N400" s="5"/>
      <c r="O400" s="5"/>
      <c r="P400" s="80"/>
      <c r="Q400" s="5"/>
    </row>
    <row r="401" spans="12:17" x14ac:dyDescent="0.3">
      <c r="L401" s="5"/>
      <c r="M401" s="5"/>
      <c r="N401" s="5"/>
      <c r="O401" s="5"/>
      <c r="P401" s="80"/>
      <c r="Q401" s="5"/>
    </row>
    <row r="402" spans="12:17" x14ac:dyDescent="0.3">
      <c r="L402" s="5"/>
      <c r="M402" s="5"/>
      <c r="N402" s="5"/>
      <c r="O402" s="5"/>
      <c r="P402" s="80"/>
      <c r="Q402" s="5"/>
    </row>
    <row r="403" spans="12:17" x14ac:dyDescent="0.3">
      <c r="L403" s="5"/>
      <c r="M403" s="5"/>
      <c r="N403" s="5"/>
      <c r="O403" s="5"/>
      <c r="P403" s="80"/>
      <c r="Q403" s="5"/>
    </row>
    <row r="404" spans="12:17" x14ac:dyDescent="0.3">
      <c r="L404" s="5"/>
      <c r="M404" s="5"/>
      <c r="N404" s="5"/>
      <c r="O404" s="5"/>
      <c r="P404" s="80"/>
      <c r="Q404" s="5"/>
    </row>
    <row r="405" spans="12:17" x14ac:dyDescent="0.3">
      <c r="L405" s="5"/>
      <c r="M405" s="5"/>
      <c r="N405" s="5"/>
      <c r="O405" s="5"/>
      <c r="P405" s="80"/>
      <c r="Q405" s="5"/>
    </row>
    <row r="406" spans="12:17" x14ac:dyDescent="0.3">
      <c r="L406" s="5"/>
      <c r="M406" s="5"/>
      <c r="N406" s="5"/>
      <c r="O406" s="5"/>
      <c r="P406" s="80"/>
      <c r="Q406" s="5"/>
    </row>
    <row r="407" spans="12:17" x14ac:dyDescent="0.3">
      <c r="L407" s="5"/>
      <c r="M407" s="5"/>
      <c r="N407" s="5"/>
      <c r="O407" s="5"/>
      <c r="P407" s="80"/>
      <c r="Q407" s="5"/>
    </row>
    <row r="408" spans="12:17" x14ac:dyDescent="0.3">
      <c r="L408" s="5"/>
      <c r="M408" s="5"/>
      <c r="N408" s="5"/>
      <c r="O408" s="5"/>
      <c r="P408" s="80"/>
      <c r="Q408" s="5"/>
    </row>
    <row r="409" spans="12:17" x14ac:dyDescent="0.3">
      <c r="L409" s="5"/>
      <c r="M409" s="5"/>
      <c r="N409" s="5"/>
      <c r="O409" s="5"/>
      <c r="P409" s="80"/>
      <c r="Q409" s="5"/>
    </row>
    <row r="410" spans="12:17" x14ac:dyDescent="0.3">
      <c r="L410" s="5"/>
      <c r="M410" s="5"/>
      <c r="N410" s="5"/>
      <c r="O410" s="5"/>
      <c r="P410" s="80"/>
      <c r="Q410" s="5"/>
    </row>
    <row r="411" spans="12:17" x14ac:dyDescent="0.3">
      <c r="L411" s="5"/>
      <c r="M411" s="5"/>
      <c r="N411" s="5"/>
      <c r="O411" s="5"/>
      <c r="P411" s="80"/>
      <c r="Q411" s="5"/>
    </row>
    <row r="412" spans="12:17" x14ac:dyDescent="0.3">
      <c r="L412" s="5"/>
      <c r="M412" s="5"/>
      <c r="N412" s="5"/>
      <c r="O412" s="5"/>
      <c r="P412" s="80"/>
      <c r="Q412" s="5"/>
    </row>
    <row r="413" spans="12:17" x14ac:dyDescent="0.3">
      <c r="L413" s="5"/>
      <c r="M413" s="5"/>
      <c r="N413" s="5"/>
      <c r="O413" s="5"/>
      <c r="P413" s="80"/>
      <c r="Q413" s="5"/>
    </row>
    <row r="414" spans="12:17" x14ac:dyDescent="0.3">
      <c r="L414" s="5"/>
      <c r="M414" s="5"/>
      <c r="N414" s="5"/>
      <c r="O414" s="5"/>
      <c r="P414" s="80"/>
      <c r="Q414" s="5"/>
    </row>
    <row r="415" spans="12:17" x14ac:dyDescent="0.3">
      <c r="L415" s="5"/>
      <c r="M415" s="5"/>
      <c r="N415" s="5"/>
      <c r="O415" s="5"/>
      <c r="P415" s="80"/>
      <c r="Q415" s="5"/>
    </row>
    <row r="416" spans="12:17" x14ac:dyDescent="0.3">
      <c r="L416" s="5"/>
      <c r="M416" s="5"/>
      <c r="N416" s="5"/>
      <c r="O416" s="5"/>
      <c r="P416" s="80"/>
      <c r="Q416" s="5"/>
    </row>
    <row r="417" spans="12:17" x14ac:dyDescent="0.3">
      <c r="L417" s="5"/>
      <c r="M417" s="5"/>
      <c r="N417" s="5"/>
      <c r="O417" s="5"/>
      <c r="P417" s="80"/>
      <c r="Q417" s="5"/>
    </row>
    <row r="418" spans="12:17" x14ac:dyDescent="0.3">
      <c r="L418" s="5"/>
      <c r="M418" s="5"/>
      <c r="N418" s="5"/>
      <c r="O418" s="5"/>
      <c r="P418" s="80"/>
      <c r="Q418" s="5"/>
    </row>
    <row r="419" spans="12:17" x14ac:dyDescent="0.3">
      <c r="L419" s="5"/>
      <c r="M419" s="5"/>
      <c r="N419" s="5"/>
      <c r="O419" s="5"/>
      <c r="P419" s="80"/>
      <c r="Q419" s="5"/>
    </row>
    <row r="420" spans="12:17" x14ac:dyDescent="0.3">
      <c r="L420" s="5"/>
      <c r="M420" s="5"/>
      <c r="N420" s="5"/>
      <c r="O420" s="5"/>
      <c r="P420" s="80"/>
      <c r="Q420" s="5"/>
    </row>
    <row r="421" spans="12:17" x14ac:dyDescent="0.3">
      <c r="L421" s="5"/>
      <c r="M421" s="5"/>
      <c r="N421" s="5"/>
      <c r="O421" s="5"/>
      <c r="P421" s="80"/>
      <c r="Q421" s="5"/>
    </row>
    <row r="422" spans="12:17" x14ac:dyDescent="0.3">
      <c r="L422" s="5"/>
      <c r="M422" s="5"/>
      <c r="N422" s="5"/>
      <c r="O422" s="5"/>
      <c r="P422" s="80"/>
      <c r="Q422" s="5"/>
    </row>
    <row r="423" spans="12:17" x14ac:dyDescent="0.3">
      <c r="L423" s="5"/>
      <c r="M423" s="5"/>
      <c r="N423" s="5"/>
      <c r="O423" s="5"/>
      <c r="P423" s="80"/>
      <c r="Q423" s="5"/>
    </row>
    <row r="424" spans="12:17" x14ac:dyDescent="0.3">
      <c r="L424" s="5"/>
      <c r="M424" s="5"/>
      <c r="N424" s="5"/>
      <c r="O424" s="5"/>
      <c r="P424" s="80"/>
      <c r="Q424" s="5"/>
    </row>
    <row r="425" spans="12:17" x14ac:dyDescent="0.3">
      <c r="L425" s="5"/>
      <c r="M425" s="5"/>
      <c r="N425" s="5"/>
      <c r="O425" s="5"/>
      <c r="P425" s="80"/>
      <c r="Q425" s="5"/>
    </row>
    <row r="426" spans="12:17" x14ac:dyDescent="0.3">
      <c r="L426" s="5"/>
      <c r="M426" s="5"/>
      <c r="N426" s="5"/>
      <c r="O426" s="5"/>
      <c r="P426" s="80"/>
      <c r="Q426" s="5"/>
    </row>
    <row r="427" spans="12:17" x14ac:dyDescent="0.3">
      <c r="L427" s="5"/>
      <c r="M427" s="5"/>
      <c r="N427" s="5"/>
      <c r="O427" s="5"/>
      <c r="P427" s="80"/>
      <c r="Q427" s="5"/>
    </row>
    <row r="428" spans="12:17" x14ac:dyDescent="0.3">
      <c r="L428" s="5"/>
      <c r="M428" s="5"/>
      <c r="N428" s="5"/>
      <c r="O428" s="5"/>
      <c r="P428" s="80"/>
      <c r="Q428" s="5"/>
    </row>
    <row r="429" spans="12:17" x14ac:dyDescent="0.3">
      <c r="L429" s="5"/>
      <c r="M429" s="5"/>
      <c r="N429" s="5"/>
      <c r="O429" s="5"/>
      <c r="P429" s="80"/>
      <c r="Q429" s="5"/>
    </row>
    <row r="430" spans="12:17" x14ac:dyDescent="0.3">
      <c r="L430" s="5"/>
      <c r="M430" s="5"/>
      <c r="N430" s="5"/>
      <c r="O430" s="5"/>
      <c r="P430" s="80"/>
      <c r="Q430" s="5"/>
    </row>
    <row r="431" spans="12:17" x14ac:dyDescent="0.3">
      <c r="L431" s="5"/>
      <c r="M431" s="5"/>
      <c r="N431" s="5"/>
      <c r="O431" s="5"/>
      <c r="P431" s="80"/>
      <c r="Q431" s="5"/>
    </row>
    <row r="432" spans="12:17" x14ac:dyDescent="0.3">
      <c r="L432" s="5"/>
      <c r="M432" s="5"/>
      <c r="N432" s="5"/>
      <c r="O432" s="5"/>
      <c r="P432" s="80"/>
      <c r="Q432" s="5"/>
    </row>
    <row r="433" spans="12:17" x14ac:dyDescent="0.3">
      <c r="L433" s="5"/>
      <c r="M433" s="5"/>
      <c r="N433" s="5"/>
      <c r="O433" s="5"/>
      <c r="P433" s="80"/>
      <c r="Q433" s="5"/>
    </row>
    <row r="434" spans="12:17" x14ac:dyDescent="0.3">
      <c r="L434" s="5"/>
      <c r="M434" s="5"/>
      <c r="N434" s="5"/>
      <c r="O434" s="5"/>
      <c r="P434" s="80"/>
      <c r="Q434" s="5"/>
    </row>
    <row r="435" spans="12:17" x14ac:dyDescent="0.3">
      <c r="L435" s="5"/>
      <c r="M435" s="5"/>
      <c r="N435" s="5"/>
      <c r="O435" s="5"/>
      <c r="P435" s="80"/>
      <c r="Q435" s="5"/>
    </row>
    <row r="436" spans="12:17" x14ac:dyDescent="0.3">
      <c r="L436" s="5"/>
      <c r="M436" s="5"/>
      <c r="N436" s="5"/>
      <c r="O436" s="5"/>
      <c r="P436" s="80"/>
      <c r="Q436" s="5"/>
    </row>
    <row r="437" spans="12:17" x14ac:dyDescent="0.3">
      <c r="L437" s="5"/>
      <c r="M437" s="5"/>
      <c r="N437" s="5"/>
      <c r="O437" s="5"/>
      <c r="P437" s="80"/>
      <c r="Q437" s="5"/>
    </row>
    <row r="438" spans="12:17" x14ac:dyDescent="0.3">
      <c r="L438" s="5"/>
      <c r="M438" s="5"/>
      <c r="N438" s="5"/>
      <c r="O438" s="5"/>
      <c r="P438" s="80"/>
      <c r="Q438" s="5"/>
    </row>
    <row r="439" spans="12:17" x14ac:dyDescent="0.3">
      <c r="L439" s="5"/>
      <c r="M439" s="5"/>
      <c r="N439" s="5"/>
      <c r="O439" s="5"/>
      <c r="P439" s="80"/>
      <c r="Q439" s="5"/>
    </row>
    <row r="440" spans="12:17" x14ac:dyDescent="0.3">
      <c r="L440" s="5"/>
      <c r="M440" s="5"/>
      <c r="N440" s="5"/>
      <c r="O440" s="5"/>
      <c r="P440" s="80"/>
      <c r="Q440" s="5"/>
    </row>
    <row r="441" spans="12:17" x14ac:dyDescent="0.3">
      <c r="L441" s="5"/>
      <c r="M441" s="5"/>
      <c r="N441" s="5"/>
      <c r="O441" s="5"/>
      <c r="P441" s="80"/>
      <c r="Q441" s="5"/>
    </row>
    <row r="442" spans="12:17" x14ac:dyDescent="0.3">
      <c r="L442" s="5"/>
      <c r="M442" s="5"/>
      <c r="N442" s="5"/>
      <c r="O442" s="5"/>
      <c r="P442" s="80"/>
      <c r="Q442" s="5"/>
    </row>
    <row r="443" spans="12:17" x14ac:dyDescent="0.3">
      <c r="L443" s="5"/>
      <c r="M443" s="5"/>
      <c r="N443" s="5"/>
      <c r="O443" s="5"/>
      <c r="P443" s="80"/>
      <c r="Q443" s="5"/>
    </row>
    <row r="444" spans="12:17" x14ac:dyDescent="0.3">
      <c r="L444" s="5"/>
      <c r="M444" s="5"/>
      <c r="N444" s="5"/>
      <c r="O444" s="5"/>
      <c r="P444" s="80"/>
      <c r="Q444" s="5"/>
    </row>
    <row r="445" spans="12:17" x14ac:dyDescent="0.3">
      <c r="L445" s="5"/>
      <c r="M445" s="5"/>
      <c r="N445" s="5"/>
      <c r="O445" s="5"/>
      <c r="P445" s="80"/>
      <c r="Q445" s="5"/>
    </row>
    <row r="446" spans="12:17" x14ac:dyDescent="0.3">
      <c r="L446" s="5"/>
      <c r="M446" s="5"/>
      <c r="N446" s="5"/>
      <c r="O446" s="5"/>
      <c r="P446" s="80"/>
      <c r="Q446" s="5"/>
    </row>
    <row r="447" spans="12:17" x14ac:dyDescent="0.3">
      <c r="L447" s="5"/>
      <c r="M447" s="5"/>
      <c r="N447" s="5"/>
      <c r="O447" s="5"/>
      <c r="P447" s="80"/>
      <c r="Q447" s="5"/>
    </row>
    <row r="448" spans="12:17" x14ac:dyDescent="0.3">
      <c r="L448" s="5"/>
      <c r="M448" s="5"/>
      <c r="N448" s="5"/>
      <c r="O448" s="5"/>
      <c r="P448" s="80"/>
      <c r="Q448" s="5"/>
    </row>
    <row r="449" spans="12:17" x14ac:dyDescent="0.3">
      <c r="L449" s="5"/>
      <c r="M449" s="5"/>
      <c r="N449" s="5"/>
      <c r="O449" s="5"/>
      <c r="P449" s="80"/>
      <c r="Q449" s="5"/>
    </row>
    <row r="450" spans="12:17" x14ac:dyDescent="0.3">
      <c r="L450" s="5"/>
      <c r="M450" s="5"/>
      <c r="N450" s="5"/>
      <c r="O450" s="5"/>
      <c r="P450" s="80"/>
      <c r="Q450" s="5"/>
    </row>
    <row r="451" spans="12:17" x14ac:dyDescent="0.3">
      <c r="L451" s="5"/>
      <c r="M451" s="5"/>
      <c r="N451" s="5"/>
      <c r="O451" s="5"/>
      <c r="P451" s="80"/>
      <c r="Q451" s="5"/>
    </row>
    <row r="452" spans="12:17" x14ac:dyDescent="0.3">
      <c r="L452" s="5"/>
      <c r="M452" s="5"/>
      <c r="N452" s="5"/>
      <c r="O452" s="5"/>
      <c r="P452" s="80"/>
      <c r="Q452" s="5"/>
    </row>
    <row r="453" spans="12:17" x14ac:dyDescent="0.3">
      <c r="L453" s="5"/>
      <c r="M453" s="5"/>
      <c r="N453" s="5"/>
      <c r="O453" s="5"/>
      <c r="P453" s="80"/>
      <c r="Q453" s="5"/>
    </row>
    <row r="454" spans="12:17" x14ac:dyDescent="0.3">
      <c r="L454" s="5"/>
      <c r="M454" s="5"/>
      <c r="N454" s="5"/>
      <c r="O454" s="5"/>
      <c r="P454" s="80"/>
      <c r="Q454" s="5"/>
    </row>
    <row r="455" spans="12:17" x14ac:dyDescent="0.3">
      <c r="L455" s="5"/>
      <c r="M455" s="5"/>
      <c r="N455" s="5"/>
      <c r="O455" s="5"/>
      <c r="P455" s="80"/>
      <c r="Q455" s="5"/>
    </row>
    <row r="456" spans="12:17" x14ac:dyDescent="0.3">
      <c r="L456" s="5"/>
      <c r="M456" s="5"/>
      <c r="N456" s="5"/>
      <c r="O456" s="5"/>
      <c r="P456" s="80"/>
      <c r="Q456" s="5"/>
    </row>
    <row r="457" spans="12:17" x14ac:dyDescent="0.3">
      <c r="L457" s="5"/>
      <c r="M457" s="5"/>
      <c r="N457" s="5"/>
      <c r="O457" s="5"/>
      <c r="P457" s="80"/>
      <c r="Q457" s="5"/>
    </row>
    <row r="458" spans="12:17" x14ac:dyDescent="0.3">
      <c r="L458" s="5"/>
      <c r="M458" s="5"/>
      <c r="N458" s="5"/>
      <c r="O458" s="5"/>
      <c r="P458" s="80"/>
      <c r="Q458" s="5"/>
    </row>
    <row r="459" spans="12:17" x14ac:dyDescent="0.3">
      <c r="L459" s="5"/>
      <c r="M459" s="5"/>
      <c r="N459" s="5"/>
      <c r="O459" s="5"/>
      <c r="P459" s="80"/>
      <c r="Q459" s="5"/>
    </row>
    <row r="460" spans="12:17" x14ac:dyDescent="0.3">
      <c r="L460" s="5"/>
      <c r="M460" s="5"/>
      <c r="N460" s="5"/>
      <c r="O460" s="5"/>
      <c r="P460" s="80"/>
      <c r="Q460" s="5"/>
    </row>
    <row r="461" spans="12:17" x14ac:dyDescent="0.3">
      <c r="L461" s="5"/>
      <c r="M461" s="5"/>
      <c r="N461" s="5"/>
      <c r="O461" s="5"/>
      <c r="P461" s="80"/>
      <c r="Q461" s="5"/>
    </row>
    <row r="462" spans="12:17" x14ac:dyDescent="0.3">
      <c r="L462" s="5"/>
      <c r="M462" s="5"/>
      <c r="N462" s="5"/>
      <c r="O462" s="5"/>
      <c r="P462" s="80"/>
      <c r="Q462" s="5"/>
    </row>
    <row r="463" spans="12:17" x14ac:dyDescent="0.3">
      <c r="L463" s="5"/>
      <c r="M463" s="5"/>
      <c r="N463" s="5"/>
      <c r="O463" s="5"/>
      <c r="P463" s="80"/>
      <c r="Q463" s="5"/>
    </row>
    <row r="464" spans="12:17" x14ac:dyDescent="0.3">
      <c r="L464" s="5"/>
      <c r="M464" s="5"/>
      <c r="N464" s="5"/>
      <c r="O464" s="5"/>
      <c r="P464" s="80"/>
      <c r="Q464" s="5"/>
    </row>
    <row r="465" spans="12:17" x14ac:dyDescent="0.3">
      <c r="L465" s="5"/>
      <c r="M465" s="5"/>
      <c r="N465" s="5"/>
      <c r="O465" s="5"/>
      <c r="P465" s="80"/>
      <c r="Q465" s="5"/>
    </row>
    <row r="466" spans="12:17" x14ac:dyDescent="0.3">
      <c r="L466" s="5"/>
      <c r="M466" s="5"/>
      <c r="N466" s="5"/>
      <c r="O466" s="5"/>
      <c r="P466" s="80"/>
      <c r="Q466" s="5"/>
    </row>
    <row r="467" spans="12:17" x14ac:dyDescent="0.3">
      <c r="L467" s="5"/>
      <c r="M467" s="5"/>
      <c r="N467" s="5"/>
      <c r="O467" s="5"/>
      <c r="P467" s="80"/>
      <c r="Q467" s="5"/>
    </row>
    <row r="468" spans="12:17" x14ac:dyDescent="0.3">
      <c r="L468" s="5"/>
      <c r="M468" s="5"/>
      <c r="N468" s="5"/>
      <c r="O468" s="5"/>
      <c r="P468" s="80"/>
      <c r="Q468" s="5"/>
    </row>
    <row r="469" spans="12:17" x14ac:dyDescent="0.3">
      <c r="L469" s="5"/>
      <c r="M469" s="5"/>
      <c r="N469" s="5"/>
      <c r="O469" s="5"/>
      <c r="P469" s="80"/>
      <c r="Q469" s="5"/>
    </row>
    <row r="470" spans="12:17" x14ac:dyDescent="0.3">
      <c r="L470" s="5"/>
      <c r="M470" s="5"/>
      <c r="N470" s="5"/>
      <c r="O470" s="5"/>
      <c r="P470" s="80"/>
      <c r="Q470" s="5"/>
    </row>
    <row r="471" spans="12:17" x14ac:dyDescent="0.3">
      <c r="L471" s="5"/>
      <c r="M471" s="5"/>
      <c r="N471" s="5"/>
      <c r="O471" s="5"/>
      <c r="P471" s="80"/>
      <c r="Q471" s="5"/>
    </row>
    <row r="472" spans="12:17" x14ac:dyDescent="0.3">
      <c r="L472" s="5"/>
      <c r="M472" s="5"/>
      <c r="N472" s="5"/>
      <c r="O472" s="5"/>
      <c r="P472" s="80"/>
      <c r="Q472" s="5"/>
    </row>
    <row r="473" spans="12:17" x14ac:dyDescent="0.3">
      <c r="L473" s="5"/>
      <c r="M473" s="5"/>
      <c r="N473" s="5"/>
      <c r="O473" s="5"/>
      <c r="P473" s="80"/>
      <c r="Q473" s="5"/>
    </row>
    <row r="474" spans="12:17" x14ac:dyDescent="0.3">
      <c r="L474" s="5"/>
      <c r="M474" s="5"/>
      <c r="N474" s="5"/>
      <c r="O474" s="5"/>
      <c r="P474" s="80"/>
      <c r="Q474" s="5"/>
    </row>
    <row r="475" spans="12:17" x14ac:dyDescent="0.3">
      <c r="L475" s="5"/>
      <c r="M475" s="5"/>
      <c r="N475" s="5"/>
      <c r="O475" s="5"/>
      <c r="P475" s="80"/>
      <c r="Q475" s="5"/>
    </row>
    <row r="476" spans="12:17" x14ac:dyDescent="0.3">
      <c r="L476" s="5"/>
      <c r="M476" s="5"/>
      <c r="N476" s="5"/>
      <c r="O476" s="5"/>
      <c r="P476" s="80"/>
      <c r="Q476" s="5"/>
    </row>
    <row r="477" spans="12:17" x14ac:dyDescent="0.3">
      <c r="L477" s="5"/>
      <c r="M477" s="5"/>
      <c r="N477" s="5"/>
      <c r="O477" s="5"/>
      <c r="P477" s="80"/>
      <c r="Q477" s="5"/>
    </row>
    <row r="478" spans="12:17" x14ac:dyDescent="0.3">
      <c r="L478" s="5"/>
      <c r="M478" s="5"/>
      <c r="N478" s="5"/>
      <c r="O478" s="5"/>
      <c r="P478" s="80"/>
      <c r="Q478" s="5"/>
    </row>
    <row r="479" spans="12:17" x14ac:dyDescent="0.3">
      <c r="L479" s="5"/>
      <c r="M479" s="5"/>
      <c r="N479" s="5"/>
      <c r="O479" s="5"/>
      <c r="P479" s="80"/>
      <c r="Q479" s="5"/>
    </row>
    <row r="480" spans="12:17" x14ac:dyDescent="0.3">
      <c r="L480" s="5"/>
      <c r="M480" s="5"/>
      <c r="N480" s="5"/>
      <c r="O480" s="5"/>
      <c r="P480" s="80"/>
      <c r="Q480" s="5"/>
    </row>
    <row r="481" spans="12:17" x14ac:dyDescent="0.3">
      <c r="L481" s="5"/>
      <c r="M481" s="5"/>
      <c r="N481" s="5"/>
      <c r="O481" s="5"/>
      <c r="P481" s="80"/>
      <c r="Q481" s="5"/>
    </row>
    <row r="482" spans="12:17" x14ac:dyDescent="0.3">
      <c r="L482" s="5"/>
      <c r="M482" s="5"/>
      <c r="N482" s="5"/>
      <c r="O482" s="5"/>
      <c r="P482" s="80"/>
      <c r="Q482" s="5"/>
    </row>
    <row r="483" spans="12:17" x14ac:dyDescent="0.3">
      <c r="L483" s="5"/>
      <c r="M483" s="5"/>
      <c r="N483" s="5"/>
      <c r="O483" s="5"/>
      <c r="P483" s="80"/>
      <c r="Q483" s="5"/>
    </row>
    <row r="484" spans="12:17" x14ac:dyDescent="0.3">
      <c r="L484" s="5"/>
      <c r="M484" s="5"/>
      <c r="N484" s="5"/>
      <c r="O484" s="5"/>
      <c r="P484" s="80"/>
      <c r="Q484" s="5"/>
    </row>
    <row r="485" spans="12:17" x14ac:dyDescent="0.3">
      <c r="L485" s="5"/>
      <c r="M485" s="5"/>
      <c r="N485" s="5"/>
      <c r="O485" s="5"/>
      <c r="P485" s="80"/>
      <c r="Q485" s="5"/>
    </row>
    <row r="486" spans="12:17" x14ac:dyDescent="0.3">
      <c r="L486" s="5"/>
      <c r="M486" s="5"/>
      <c r="N486" s="5"/>
      <c r="O486" s="5"/>
      <c r="P486" s="80"/>
      <c r="Q486" s="5"/>
    </row>
    <row r="487" spans="12:17" x14ac:dyDescent="0.3">
      <c r="L487" s="5"/>
      <c r="M487" s="5"/>
      <c r="N487" s="5"/>
      <c r="O487" s="5"/>
      <c r="P487" s="80"/>
      <c r="Q487" s="5"/>
    </row>
    <row r="488" spans="12:17" x14ac:dyDescent="0.3">
      <c r="L488" s="5"/>
      <c r="M488" s="5"/>
      <c r="N488" s="5"/>
      <c r="O488" s="5"/>
      <c r="P488" s="80"/>
      <c r="Q488" s="5"/>
    </row>
    <row r="489" spans="12:17" x14ac:dyDescent="0.3">
      <c r="L489" s="5"/>
      <c r="M489" s="5"/>
      <c r="N489" s="5"/>
      <c r="O489" s="5"/>
      <c r="P489" s="80"/>
      <c r="Q489" s="5"/>
    </row>
    <row r="490" spans="12:17" x14ac:dyDescent="0.3">
      <c r="L490" s="5"/>
      <c r="M490" s="5"/>
      <c r="N490" s="5"/>
      <c r="O490" s="5"/>
      <c r="P490" s="80"/>
      <c r="Q490" s="5"/>
    </row>
    <row r="491" spans="12:17" x14ac:dyDescent="0.3">
      <c r="L491" s="5"/>
      <c r="M491" s="5"/>
      <c r="N491" s="5"/>
      <c r="O491" s="5"/>
      <c r="P491" s="80"/>
      <c r="Q491" s="5"/>
    </row>
    <row r="492" spans="12:17" x14ac:dyDescent="0.3">
      <c r="L492" s="5"/>
      <c r="M492" s="5"/>
      <c r="N492" s="5"/>
      <c r="O492" s="5"/>
      <c r="P492" s="80"/>
      <c r="Q492" s="5"/>
    </row>
    <row r="493" spans="12:17" x14ac:dyDescent="0.3">
      <c r="L493" s="5"/>
      <c r="M493" s="5"/>
      <c r="N493" s="5"/>
      <c r="O493" s="5"/>
      <c r="P493" s="80"/>
      <c r="Q493" s="5"/>
    </row>
    <row r="494" spans="12:17" x14ac:dyDescent="0.3">
      <c r="L494" s="5"/>
      <c r="M494" s="5"/>
      <c r="N494" s="5"/>
      <c r="O494" s="5"/>
      <c r="P494" s="80"/>
      <c r="Q494" s="5"/>
    </row>
    <row r="495" spans="12:17" x14ac:dyDescent="0.3">
      <c r="L495" s="5"/>
      <c r="M495" s="5"/>
      <c r="N495" s="5"/>
      <c r="O495" s="5"/>
      <c r="P495" s="80"/>
      <c r="Q495" s="5"/>
    </row>
    <row r="496" spans="12:17" x14ac:dyDescent="0.3">
      <c r="L496" s="5"/>
      <c r="M496" s="5"/>
      <c r="N496" s="5"/>
      <c r="O496" s="5"/>
      <c r="P496" s="80"/>
      <c r="Q496" s="5"/>
    </row>
    <row r="497" spans="12:17" x14ac:dyDescent="0.3">
      <c r="L497" s="5"/>
      <c r="M497" s="5"/>
      <c r="N497" s="5"/>
      <c r="O497" s="5"/>
      <c r="P497" s="80"/>
      <c r="Q497" s="5"/>
    </row>
    <row r="498" spans="12:17" x14ac:dyDescent="0.3">
      <c r="L498" s="5"/>
      <c r="M498" s="5"/>
      <c r="N498" s="5"/>
      <c r="O498" s="5"/>
      <c r="P498" s="80"/>
      <c r="Q498" s="5"/>
    </row>
    <row r="499" spans="12:17" x14ac:dyDescent="0.3">
      <c r="L499" s="5"/>
      <c r="M499" s="5"/>
      <c r="N499" s="5"/>
      <c r="O499" s="5"/>
      <c r="P499" s="80"/>
      <c r="Q499" s="5"/>
    </row>
    <row r="500" spans="12:17" x14ac:dyDescent="0.3">
      <c r="L500" s="5"/>
      <c r="M500" s="5"/>
      <c r="N500" s="5"/>
      <c r="O500" s="5"/>
      <c r="P500" s="80"/>
      <c r="Q500" s="5"/>
    </row>
    <row r="501" spans="12:17" x14ac:dyDescent="0.3">
      <c r="L501" s="5"/>
      <c r="M501" s="5"/>
      <c r="N501" s="5"/>
      <c r="O501" s="5"/>
      <c r="P501" s="80"/>
      <c r="Q501" s="5"/>
    </row>
    <row r="502" spans="12:17" x14ac:dyDescent="0.3">
      <c r="L502" s="5"/>
      <c r="M502" s="5"/>
      <c r="N502" s="5"/>
      <c r="O502" s="5"/>
      <c r="P502" s="80"/>
      <c r="Q502" s="5"/>
    </row>
    <row r="503" spans="12:17" x14ac:dyDescent="0.3">
      <c r="L503" s="5"/>
      <c r="M503" s="5"/>
      <c r="N503" s="5"/>
      <c r="O503" s="5"/>
      <c r="P503" s="80"/>
      <c r="Q503" s="5"/>
    </row>
    <row r="504" spans="12:17" x14ac:dyDescent="0.3">
      <c r="L504" s="5"/>
      <c r="M504" s="5"/>
      <c r="N504" s="5"/>
      <c r="O504" s="5"/>
      <c r="P504" s="80"/>
      <c r="Q504" s="5"/>
    </row>
    <row r="505" spans="12:17" x14ac:dyDescent="0.3">
      <c r="L505" s="5"/>
      <c r="M505" s="5"/>
      <c r="N505" s="5"/>
      <c r="O505" s="5"/>
      <c r="P505" s="80"/>
      <c r="Q505" s="5"/>
    </row>
    <row r="506" spans="12:17" x14ac:dyDescent="0.3">
      <c r="L506" s="5"/>
      <c r="M506" s="5"/>
      <c r="N506" s="5"/>
      <c r="O506" s="5"/>
      <c r="P506" s="80"/>
      <c r="Q506" s="5"/>
    </row>
    <row r="507" spans="12:17" x14ac:dyDescent="0.3">
      <c r="L507" s="5"/>
      <c r="M507" s="5"/>
      <c r="N507" s="5"/>
      <c r="O507" s="5"/>
      <c r="P507" s="80"/>
      <c r="Q507" s="5"/>
    </row>
    <row r="508" spans="12:17" x14ac:dyDescent="0.3">
      <c r="L508" s="5"/>
      <c r="M508" s="5"/>
      <c r="N508" s="5"/>
      <c r="O508" s="5"/>
      <c r="P508" s="80"/>
      <c r="Q508" s="5"/>
    </row>
    <row r="509" spans="12:17" x14ac:dyDescent="0.3">
      <c r="L509" s="5"/>
      <c r="M509" s="5"/>
      <c r="N509" s="5"/>
      <c r="O509" s="5"/>
      <c r="P509" s="80"/>
      <c r="Q509" s="5"/>
    </row>
    <row r="510" spans="12:17" x14ac:dyDescent="0.3">
      <c r="L510" s="5"/>
      <c r="M510" s="5"/>
      <c r="N510" s="5"/>
      <c r="O510" s="5"/>
      <c r="P510" s="80"/>
      <c r="Q510" s="5"/>
    </row>
    <row r="511" spans="12:17" x14ac:dyDescent="0.3">
      <c r="L511" s="5"/>
      <c r="M511" s="5"/>
      <c r="N511" s="5"/>
      <c r="O511" s="5"/>
      <c r="P511" s="80"/>
      <c r="Q511" s="5"/>
    </row>
    <row r="512" spans="12:17" x14ac:dyDescent="0.3">
      <c r="L512" s="5"/>
      <c r="M512" s="5"/>
      <c r="N512" s="5"/>
      <c r="O512" s="5"/>
      <c r="P512" s="80"/>
      <c r="Q512" s="5"/>
    </row>
    <row r="513" spans="12:17" x14ac:dyDescent="0.3">
      <c r="L513" s="5"/>
      <c r="M513" s="5"/>
      <c r="N513" s="5"/>
      <c r="O513" s="5"/>
      <c r="P513" s="80"/>
      <c r="Q513" s="5"/>
    </row>
    <row r="514" spans="12:17" x14ac:dyDescent="0.3">
      <c r="L514" s="5"/>
      <c r="M514" s="5"/>
      <c r="N514" s="5"/>
      <c r="O514" s="5"/>
      <c r="P514" s="80"/>
      <c r="Q514" s="5"/>
    </row>
    <row r="515" spans="12:17" x14ac:dyDescent="0.3">
      <c r="L515" s="5"/>
      <c r="M515" s="5"/>
      <c r="N515" s="5"/>
      <c r="O515" s="5"/>
      <c r="P515" s="80"/>
      <c r="Q515" s="5"/>
    </row>
    <row r="516" spans="12:17" x14ac:dyDescent="0.3">
      <c r="L516" s="5"/>
      <c r="M516" s="5"/>
      <c r="N516" s="5"/>
      <c r="O516" s="5"/>
      <c r="P516" s="80"/>
      <c r="Q516" s="5"/>
    </row>
    <row r="517" spans="12:17" x14ac:dyDescent="0.3">
      <c r="L517" s="5"/>
      <c r="M517" s="5"/>
      <c r="N517" s="5"/>
      <c r="O517" s="5"/>
      <c r="P517" s="80"/>
      <c r="Q517" s="5"/>
    </row>
    <row r="518" spans="12:17" x14ac:dyDescent="0.3">
      <c r="L518" s="5"/>
      <c r="M518" s="5"/>
      <c r="N518" s="5"/>
      <c r="O518" s="5"/>
      <c r="P518" s="80"/>
      <c r="Q518" s="5"/>
    </row>
    <row r="519" spans="12:17" x14ac:dyDescent="0.3">
      <c r="L519" s="5"/>
      <c r="M519" s="5"/>
      <c r="N519" s="5"/>
      <c r="O519" s="5"/>
      <c r="P519" s="80"/>
      <c r="Q519" s="5"/>
    </row>
    <row r="520" spans="12:17" x14ac:dyDescent="0.3">
      <c r="L520" s="5"/>
      <c r="M520" s="5"/>
      <c r="N520" s="5"/>
      <c r="O520" s="5"/>
      <c r="P520" s="80"/>
      <c r="Q520" s="5"/>
    </row>
    <row r="521" spans="12:17" x14ac:dyDescent="0.3">
      <c r="L521" s="5"/>
      <c r="M521" s="5"/>
      <c r="N521" s="5"/>
      <c r="O521" s="5"/>
      <c r="P521" s="80"/>
      <c r="Q521" s="5"/>
    </row>
    <row r="522" spans="12:17" x14ac:dyDescent="0.3">
      <c r="L522" s="5"/>
      <c r="M522" s="5"/>
      <c r="N522" s="5"/>
      <c r="O522" s="5"/>
      <c r="P522" s="80"/>
      <c r="Q522" s="5"/>
    </row>
    <row r="523" spans="12:17" x14ac:dyDescent="0.3">
      <c r="L523" s="5"/>
      <c r="M523" s="5"/>
      <c r="N523" s="5"/>
      <c r="O523" s="5"/>
      <c r="P523" s="80"/>
      <c r="Q523" s="5"/>
    </row>
    <row r="524" spans="12:17" x14ac:dyDescent="0.3">
      <c r="L524" s="5"/>
      <c r="M524" s="5"/>
      <c r="N524" s="5"/>
      <c r="O524" s="5"/>
      <c r="P524" s="80"/>
      <c r="Q524" s="5"/>
    </row>
    <row r="525" spans="12:17" x14ac:dyDescent="0.3">
      <c r="L525" s="5"/>
      <c r="M525" s="5"/>
      <c r="N525" s="5"/>
      <c r="O525" s="5"/>
      <c r="P525" s="80"/>
      <c r="Q525" s="5"/>
    </row>
    <row r="526" spans="12:17" x14ac:dyDescent="0.3">
      <c r="L526" s="5"/>
      <c r="M526" s="5"/>
      <c r="N526" s="5"/>
      <c r="O526" s="5"/>
      <c r="P526" s="80"/>
      <c r="Q526" s="5"/>
    </row>
    <row r="527" spans="12:17" x14ac:dyDescent="0.3">
      <c r="L527" s="5"/>
      <c r="M527" s="5"/>
      <c r="N527" s="5"/>
      <c r="O527" s="5"/>
      <c r="P527" s="80"/>
      <c r="Q527" s="5"/>
    </row>
    <row r="528" spans="12:17" x14ac:dyDescent="0.3">
      <c r="L528" s="5"/>
      <c r="M528" s="5"/>
      <c r="N528" s="5"/>
      <c r="O528" s="5"/>
      <c r="P528" s="80"/>
      <c r="Q528" s="5"/>
    </row>
    <row r="529" spans="12:17" x14ac:dyDescent="0.3">
      <c r="L529" s="5"/>
      <c r="M529" s="5"/>
      <c r="N529" s="5"/>
      <c r="O529" s="5"/>
      <c r="P529" s="80"/>
      <c r="Q529" s="5"/>
    </row>
    <row r="530" spans="12:17" x14ac:dyDescent="0.3">
      <c r="L530" s="5"/>
      <c r="M530" s="5"/>
      <c r="N530" s="5"/>
      <c r="O530" s="5"/>
      <c r="P530" s="80"/>
      <c r="Q530" s="5"/>
    </row>
    <row r="531" spans="12:17" x14ac:dyDescent="0.3">
      <c r="L531" s="5"/>
      <c r="M531" s="5"/>
      <c r="N531" s="5"/>
      <c r="O531" s="5"/>
      <c r="P531" s="80"/>
      <c r="Q531" s="5"/>
    </row>
    <row r="532" spans="12:17" x14ac:dyDescent="0.3">
      <c r="L532" s="5"/>
      <c r="M532" s="5"/>
      <c r="N532" s="5"/>
      <c r="O532" s="5"/>
      <c r="P532" s="80"/>
      <c r="Q532" s="5"/>
    </row>
    <row r="533" spans="12:17" x14ac:dyDescent="0.3">
      <c r="L533" s="5"/>
      <c r="M533" s="5"/>
      <c r="N533" s="5"/>
      <c r="O533" s="5"/>
      <c r="P533" s="80"/>
      <c r="Q533" s="5"/>
    </row>
    <row r="534" spans="12:17" x14ac:dyDescent="0.3">
      <c r="L534" s="5"/>
      <c r="M534" s="5"/>
      <c r="N534" s="5"/>
      <c r="O534" s="5"/>
      <c r="P534" s="80"/>
      <c r="Q534" s="5"/>
    </row>
    <row r="535" spans="12:17" x14ac:dyDescent="0.3">
      <c r="L535" s="5"/>
      <c r="M535" s="5"/>
      <c r="N535" s="5"/>
      <c r="O535" s="5"/>
      <c r="P535" s="80"/>
      <c r="Q535" s="5"/>
    </row>
    <row r="536" spans="12:17" x14ac:dyDescent="0.3">
      <c r="L536" s="5"/>
      <c r="M536" s="5"/>
      <c r="N536" s="5"/>
      <c r="O536" s="5"/>
      <c r="P536" s="80"/>
      <c r="Q536" s="5"/>
    </row>
    <row r="537" spans="12:17" x14ac:dyDescent="0.3">
      <c r="L537" s="5"/>
      <c r="M537" s="5"/>
      <c r="N537" s="5"/>
      <c r="O537" s="5"/>
      <c r="P537" s="80"/>
      <c r="Q537" s="5"/>
    </row>
    <row r="538" spans="12:17" x14ac:dyDescent="0.3">
      <c r="L538" s="5"/>
      <c r="M538" s="5"/>
      <c r="N538" s="5"/>
      <c r="O538" s="5"/>
      <c r="P538" s="80"/>
      <c r="Q538" s="5"/>
    </row>
    <row r="539" spans="12:17" x14ac:dyDescent="0.3">
      <c r="L539" s="5"/>
      <c r="M539" s="5"/>
      <c r="N539" s="5"/>
      <c r="O539" s="5"/>
      <c r="P539" s="80"/>
      <c r="Q539" s="5"/>
    </row>
    <row r="540" spans="12:17" x14ac:dyDescent="0.3">
      <c r="L540" s="5"/>
      <c r="M540" s="5"/>
      <c r="N540" s="5"/>
      <c r="O540" s="5"/>
      <c r="P540" s="80"/>
      <c r="Q540" s="5"/>
    </row>
    <row r="541" spans="12:17" x14ac:dyDescent="0.3">
      <c r="L541" s="5"/>
      <c r="M541" s="5"/>
      <c r="N541" s="5"/>
      <c r="O541" s="5"/>
      <c r="P541" s="80"/>
      <c r="Q541" s="5"/>
    </row>
    <row r="542" spans="12:17" x14ac:dyDescent="0.3">
      <c r="L542" s="5"/>
      <c r="M542" s="5"/>
      <c r="N542" s="5"/>
      <c r="O542" s="5"/>
      <c r="P542" s="80"/>
      <c r="Q542" s="5"/>
    </row>
    <row r="543" spans="12:17" x14ac:dyDescent="0.3">
      <c r="L543" s="5"/>
      <c r="M543" s="5"/>
      <c r="N543" s="5"/>
      <c r="O543" s="5"/>
      <c r="P543" s="80"/>
      <c r="Q543" s="5"/>
    </row>
    <row r="544" spans="12:17" x14ac:dyDescent="0.3">
      <c r="L544" s="5"/>
      <c r="M544" s="5"/>
      <c r="N544" s="5"/>
      <c r="O544" s="5"/>
      <c r="P544" s="80"/>
      <c r="Q544" s="5"/>
    </row>
    <row r="545" spans="12:17" x14ac:dyDescent="0.3">
      <c r="L545" s="5"/>
      <c r="M545" s="5"/>
      <c r="N545" s="5"/>
      <c r="O545" s="5"/>
      <c r="P545" s="80"/>
      <c r="Q545" s="5"/>
    </row>
    <row r="546" spans="12:17" x14ac:dyDescent="0.3">
      <c r="L546" s="5"/>
      <c r="M546" s="5"/>
      <c r="N546" s="5"/>
      <c r="O546" s="5"/>
      <c r="P546" s="80"/>
      <c r="Q546" s="5"/>
    </row>
    <row r="547" spans="12:17" x14ac:dyDescent="0.3">
      <c r="L547" s="5"/>
      <c r="M547" s="5"/>
      <c r="N547" s="5"/>
      <c r="O547" s="5"/>
      <c r="P547" s="80"/>
      <c r="Q547" s="5"/>
    </row>
    <row r="548" spans="12:17" x14ac:dyDescent="0.3">
      <c r="L548" s="5"/>
      <c r="M548" s="5"/>
      <c r="N548" s="5"/>
      <c r="O548" s="5"/>
      <c r="P548" s="80"/>
      <c r="Q548" s="5"/>
    </row>
    <row r="549" spans="12:17" x14ac:dyDescent="0.3">
      <c r="L549" s="5"/>
      <c r="M549" s="5"/>
      <c r="N549" s="5"/>
      <c r="O549" s="5"/>
      <c r="P549" s="80"/>
      <c r="Q549" s="5"/>
    </row>
    <row r="550" spans="12:17" x14ac:dyDescent="0.3">
      <c r="L550" s="5"/>
      <c r="M550" s="5"/>
      <c r="N550" s="5"/>
      <c r="O550" s="5"/>
      <c r="P550" s="80"/>
      <c r="Q550" s="5"/>
    </row>
    <row r="551" spans="12:17" x14ac:dyDescent="0.3">
      <c r="L551" s="5"/>
      <c r="M551" s="5"/>
      <c r="N551" s="5"/>
      <c r="O551" s="5"/>
      <c r="P551" s="80"/>
      <c r="Q551" s="5"/>
    </row>
    <row r="552" spans="12:17" x14ac:dyDescent="0.3">
      <c r="L552" s="5"/>
      <c r="M552" s="5"/>
      <c r="N552" s="5"/>
      <c r="O552" s="5"/>
      <c r="P552" s="80"/>
      <c r="Q552" s="5"/>
    </row>
    <row r="553" spans="12:17" x14ac:dyDescent="0.3">
      <c r="L553" s="5"/>
      <c r="M553" s="5"/>
      <c r="N553" s="5"/>
      <c r="O553" s="5"/>
      <c r="P553" s="80"/>
      <c r="Q553" s="5"/>
    </row>
    <row r="554" spans="12:17" x14ac:dyDescent="0.3">
      <c r="L554" s="5"/>
      <c r="M554" s="5"/>
      <c r="N554" s="5"/>
      <c r="O554" s="5"/>
      <c r="P554" s="80"/>
      <c r="Q554" s="5"/>
    </row>
    <row r="555" spans="12:17" x14ac:dyDescent="0.3">
      <c r="L555" s="5"/>
      <c r="M555" s="5"/>
      <c r="N555" s="5"/>
      <c r="O555" s="5"/>
      <c r="P555" s="80"/>
      <c r="Q555" s="5"/>
    </row>
    <row r="556" spans="12:17" x14ac:dyDescent="0.3">
      <c r="L556" s="5"/>
      <c r="M556" s="5"/>
      <c r="N556" s="5"/>
      <c r="O556" s="5"/>
      <c r="P556" s="80"/>
      <c r="Q556" s="5"/>
    </row>
    <row r="557" spans="12:17" x14ac:dyDescent="0.3">
      <c r="L557" s="5"/>
      <c r="M557" s="5"/>
      <c r="N557" s="5"/>
      <c r="O557" s="5"/>
      <c r="P557" s="80"/>
      <c r="Q557" s="5"/>
    </row>
    <row r="558" spans="12:17" x14ac:dyDescent="0.3">
      <c r="L558" s="5"/>
      <c r="M558" s="5"/>
      <c r="N558" s="5"/>
      <c r="O558" s="5"/>
      <c r="P558" s="80"/>
      <c r="Q558" s="5"/>
    </row>
    <row r="559" spans="12:17" x14ac:dyDescent="0.3">
      <c r="L559" s="5"/>
      <c r="M559" s="5"/>
      <c r="N559" s="5"/>
      <c r="O559" s="5"/>
      <c r="P559" s="80"/>
      <c r="Q559" s="5"/>
    </row>
    <row r="560" spans="12:17" x14ac:dyDescent="0.3">
      <c r="L560" s="5"/>
      <c r="M560" s="5"/>
      <c r="N560" s="5"/>
      <c r="O560" s="5"/>
      <c r="P560" s="80"/>
      <c r="Q560" s="5"/>
    </row>
    <row r="561" spans="12:17" x14ac:dyDescent="0.3">
      <c r="L561" s="5"/>
      <c r="M561" s="5"/>
      <c r="N561" s="5"/>
      <c r="O561" s="5"/>
      <c r="P561" s="80"/>
      <c r="Q561" s="5"/>
    </row>
    <row r="562" spans="12:17" x14ac:dyDescent="0.3">
      <c r="L562" s="5"/>
      <c r="M562" s="5"/>
      <c r="N562" s="5"/>
      <c r="O562" s="5"/>
      <c r="P562" s="80"/>
      <c r="Q562" s="5"/>
    </row>
    <row r="563" spans="12:17" x14ac:dyDescent="0.3">
      <c r="L563" s="5"/>
      <c r="M563" s="5"/>
      <c r="N563" s="5"/>
      <c r="O563" s="5"/>
      <c r="P563" s="80"/>
      <c r="Q563" s="5"/>
    </row>
    <row r="564" spans="12:17" x14ac:dyDescent="0.3">
      <c r="L564" s="5"/>
      <c r="M564" s="5"/>
      <c r="N564" s="5"/>
      <c r="O564" s="5"/>
      <c r="P564" s="80"/>
      <c r="Q564" s="5"/>
    </row>
    <row r="565" spans="12:17" x14ac:dyDescent="0.3">
      <c r="L565" s="5"/>
      <c r="M565" s="5"/>
      <c r="N565" s="5"/>
      <c r="O565" s="5"/>
      <c r="P565" s="80"/>
      <c r="Q565" s="5"/>
    </row>
    <row r="566" spans="12:17" x14ac:dyDescent="0.3">
      <c r="L566" s="5"/>
      <c r="M566" s="5"/>
      <c r="N566" s="5"/>
      <c r="O566" s="5"/>
      <c r="P566" s="80"/>
      <c r="Q566" s="5"/>
    </row>
    <row r="567" spans="12:17" x14ac:dyDescent="0.3">
      <c r="L567" s="5"/>
      <c r="M567" s="5"/>
      <c r="N567" s="5"/>
      <c r="O567" s="5"/>
      <c r="P567" s="80"/>
      <c r="Q567" s="5"/>
    </row>
    <row r="568" spans="12:17" x14ac:dyDescent="0.3">
      <c r="L568" s="5"/>
      <c r="M568" s="5"/>
      <c r="N568" s="5"/>
      <c r="O568" s="5"/>
      <c r="P568" s="80"/>
      <c r="Q568" s="5"/>
    </row>
    <row r="569" spans="12:17" x14ac:dyDescent="0.3">
      <c r="L569" s="5"/>
      <c r="M569" s="5"/>
      <c r="N569" s="5"/>
      <c r="O569" s="5"/>
      <c r="P569" s="80"/>
      <c r="Q569" s="5"/>
    </row>
    <row r="570" spans="12:17" x14ac:dyDescent="0.3">
      <c r="L570" s="5"/>
      <c r="M570" s="5"/>
      <c r="N570" s="5"/>
      <c r="O570" s="5"/>
      <c r="P570" s="80"/>
      <c r="Q570" s="5"/>
    </row>
    <row r="571" spans="12:17" x14ac:dyDescent="0.3">
      <c r="L571" s="5"/>
      <c r="M571" s="5"/>
      <c r="N571" s="5"/>
      <c r="O571" s="5"/>
      <c r="P571" s="80"/>
      <c r="Q571" s="5"/>
    </row>
    <row r="572" spans="12:17" x14ac:dyDescent="0.3">
      <c r="L572" s="5"/>
      <c r="M572" s="5"/>
      <c r="N572" s="5"/>
      <c r="O572" s="5"/>
      <c r="P572" s="80"/>
      <c r="Q572" s="5"/>
    </row>
    <row r="573" spans="12:17" x14ac:dyDescent="0.3">
      <c r="L573" s="5"/>
      <c r="M573" s="5"/>
      <c r="N573" s="5"/>
      <c r="O573" s="5"/>
      <c r="P573" s="80"/>
      <c r="Q573" s="5"/>
    </row>
    <row r="574" spans="12:17" x14ac:dyDescent="0.3">
      <c r="L574" s="5"/>
      <c r="M574" s="5"/>
      <c r="N574" s="5"/>
      <c r="O574" s="5"/>
      <c r="P574" s="80"/>
      <c r="Q574" s="5"/>
    </row>
    <row r="575" spans="12:17" x14ac:dyDescent="0.3">
      <c r="L575" s="5"/>
      <c r="M575" s="5"/>
      <c r="N575" s="5"/>
      <c r="O575" s="5"/>
      <c r="P575" s="80"/>
      <c r="Q575" s="5"/>
    </row>
    <row r="576" spans="12:17" x14ac:dyDescent="0.3">
      <c r="L576" s="5"/>
      <c r="M576" s="5"/>
      <c r="N576" s="5"/>
      <c r="O576" s="5"/>
      <c r="P576" s="80"/>
      <c r="Q576" s="5"/>
    </row>
    <row r="577" spans="12:17" x14ac:dyDescent="0.3">
      <c r="L577" s="5"/>
      <c r="M577" s="5"/>
      <c r="N577" s="5"/>
      <c r="O577" s="5"/>
      <c r="P577" s="80"/>
      <c r="Q577" s="5"/>
    </row>
    <row r="578" spans="12:17" x14ac:dyDescent="0.3">
      <c r="L578" s="5"/>
      <c r="M578" s="5"/>
      <c r="N578" s="5"/>
      <c r="O578" s="5"/>
      <c r="P578" s="80"/>
      <c r="Q578" s="5"/>
    </row>
    <row r="579" spans="12:17" x14ac:dyDescent="0.3">
      <c r="L579" s="5"/>
      <c r="M579" s="5"/>
      <c r="N579" s="5"/>
      <c r="O579" s="5"/>
      <c r="P579" s="80"/>
      <c r="Q579" s="5"/>
    </row>
    <row r="580" spans="12:17" x14ac:dyDescent="0.3">
      <c r="L580" s="5"/>
      <c r="M580" s="5"/>
      <c r="N580" s="5"/>
      <c r="O580" s="5"/>
      <c r="P580" s="80"/>
      <c r="Q580" s="5"/>
    </row>
    <row r="581" spans="12:17" x14ac:dyDescent="0.3">
      <c r="L581" s="5"/>
      <c r="M581" s="5"/>
      <c r="N581" s="5"/>
      <c r="O581" s="5"/>
      <c r="P581" s="80"/>
      <c r="Q581" s="5"/>
    </row>
    <row r="582" spans="12:17" x14ac:dyDescent="0.3">
      <c r="L582" s="5"/>
      <c r="M582" s="5"/>
      <c r="N582" s="5"/>
      <c r="O582" s="5"/>
      <c r="P582" s="80"/>
      <c r="Q582" s="5"/>
    </row>
    <row r="583" spans="12:17" x14ac:dyDescent="0.3">
      <c r="L583" s="5"/>
      <c r="M583" s="5"/>
      <c r="N583" s="5"/>
      <c r="O583" s="5"/>
      <c r="P583" s="80"/>
      <c r="Q583" s="5"/>
    </row>
    <row r="584" spans="12:17" x14ac:dyDescent="0.3">
      <c r="L584" s="5"/>
      <c r="M584" s="5"/>
      <c r="N584" s="5"/>
      <c r="O584" s="5"/>
      <c r="P584" s="80"/>
      <c r="Q584" s="5"/>
    </row>
    <row r="585" spans="12:17" x14ac:dyDescent="0.3">
      <c r="L585" s="5"/>
      <c r="M585" s="5"/>
      <c r="N585" s="5"/>
      <c r="O585" s="5"/>
      <c r="P585" s="80"/>
      <c r="Q585" s="5"/>
    </row>
    <row r="586" spans="12:17" x14ac:dyDescent="0.3">
      <c r="L586" s="5"/>
      <c r="M586" s="5"/>
      <c r="N586" s="5"/>
      <c r="O586" s="5"/>
      <c r="P586" s="80"/>
      <c r="Q586" s="5"/>
    </row>
    <row r="587" spans="12:17" x14ac:dyDescent="0.3">
      <c r="L587" s="5"/>
      <c r="M587" s="5"/>
      <c r="N587" s="5"/>
      <c r="O587" s="5"/>
      <c r="P587" s="80"/>
      <c r="Q587" s="5"/>
    </row>
    <row r="588" spans="12:17" x14ac:dyDescent="0.3">
      <c r="L588" s="5"/>
      <c r="M588" s="5"/>
      <c r="N588" s="5"/>
      <c r="O588" s="5"/>
      <c r="P588" s="80"/>
      <c r="Q588" s="5"/>
    </row>
    <row r="589" spans="12:17" x14ac:dyDescent="0.3">
      <c r="L589" s="5"/>
      <c r="M589" s="5"/>
      <c r="N589" s="5"/>
      <c r="O589" s="5"/>
      <c r="P589" s="80"/>
      <c r="Q589" s="5"/>
    </row>
    <row r="590" spans="12:17" x14ac:dyDescent="0.3">
      <c r="L590" s="5"/>
      <c r="M590" s="5"/>
      <c r="N590" s="5"/>
      <c r="O590" s="5"/>
      <c r="P590" s="80"/>
      <c r="Q590" s="5"/>
    </row>
    <row r="591" spans="12:17" x14ac:dyDescent="0.3">
      <c r="L591" s="5"/>
      <c r="M591" s="5"/>
      <c r="N591" s="5"/>
      <c r="O591" s="5"/>
      <c r="P591" s="80"/>
      <c r="Q591" s="5"/>
    </row>
    <row r="592" spans="12:17" x14ac:dyDescent="0.3">
      <c r="L592" s="5"/>
      <c r="M592" s="5"/>
      <c r="N592" s="5"/>
      <c r="O592" s="5"/>
      <c r="P592" s="80"/>
      <c r="Q592" s="5"/>
    </row>
    <row r="593" spans="12:17" x14ac:dyDescent="0.3">
      <c r="L593" s="5"/>
      <c r="M593" s="5"/>
      <c r="N593" s="5"/>
      <c r="O593" s="5"/>
      <c r="P593" s="80"/>
      <c r="Q593" s="5"/>
    </row>
    <row r="594" spans="12:17" x14ac:dyDescent="0.3">
      <c r="L594" s="5"/>
      <c r="M594" s="5"/>
      <c r="N594" s="5"/>
      <c r="O594" s="5"/>
      <c r="P594" s="80"/>
      <c r="Q594" s="5"/>
    </row>
    <row r="595" spans="12:17" x14ac:dyDescent="0.3">
      <c r="L595" s="5"/>
      <c r="M595" s="5"/>
      <c r="N595" s="5"/>
      <c r="O595" s="5"/>
      <c r="P595" s="80"/>
      <c r="Q595" s="5"/>
    </row>
    <row r="596" spans="12:17" x14ac:dyDescent="0.3">
      <c r="L596" s="5"/>
      <c r="M596" s="5"/>
      <c r="N596" s="5"/>
      <c r="O596" s="5"/>
      <c r="P596" s="80"/>
      <c r="Q596" s="5"/>
    </row>
    <row r="597" spans="12:17" x14ac:dyDescent="0.3">
      <c r="L597" s="5"/>
      <c r="M597" s="5"/>
      <c r="N597" s="5"/>
      <c r="O597" s="5"/>
      <c r="P597" s="80"/>
      <c r="Q597" s="5"/>
    </row>
    <row r="598" spans="12:17" x14ac:dyDescent="0.3">
      <c r="L598" s="5"/>
      <c r="M598" s="5"/>
      <c r="N598" s="5"/>
      <c r="O598" s="5"/>
      <c r="P598" s="80"/>
      <c r="Q598" s="5"/>
    </row>
    <row r="599" spans="12:17" x14ac:dyDescent="0.3">
      <c r="L599" s="5"/>
      <c r="M599" s="5"/>
      <c r="N599" s="5"/>
      <c r="O599" s="5"/>
      <c r="P599" s="80"/>
      <c r="Q599" s="5"/>
    </row>
    <row r="600" spans="12:17" x14ac:dyDescent="0.3">
      <c r="L600" s="5"/>
      <c r="M600" s="5"/>
      <c r="N600" s="5"/>
      <c r="O600" s="5"/>
      <c r="P600" s="80"/>
      <c r="Q600" s="5"/>
    </row>
    <row r="601" spans="12:17" x14ac:dyDescent="0.3">
      <c r="L601" s="5"/>
      <c r="M601" s="5"/>
      <c r="N601" s="5"/>
      <c r="O601" s="5"/>
      <c r="P601" s="80"/>
      <c r="Q601" s="5"/>
    </row>
    <row r="602" spans="12:17" x14ac:dyDescent="0.3">
      <c r="L602" s="5"/>
      <c r="M602" s="5"/>
      <c r="N602" s="5"/>
      <c r="O602" s="5"/>
      <c r="P602" s="80"/>
      <c r="Q602" s="5"/>
    </row>
    <row r="603" spans="12:17" x14ac:dyDescent="0.3">
      <c r="L603" s="5"/>
      <c r="M603" s="5"/>
      <c r="N603" s="5"/>
      <c r="O603" s="5"/>
      <c r="P603" s="80"/>
      <c r="Q603" s="5"/>
    </row>
    <row r="604" spans="12:17" x14ac:dyDescent="0.3">
      <c r="L604" s="5"/>
      <c r="M604" s="5"/>
      <c r="N604" s="5"/>
      <c r="O604" s="5"/>
      <c r="P604" s="80"/>
      <c r="Q604" s="5"/>
    </row>
    <row r="605" spans="12:17" x14ac:dyDescent="0.3">
      <c r="L605" s="5"/>
      <c r="M605" s="5"/>
      <c r="N605" s="5"/>
      <c r="O605" s="5"/>
      <c r="P605" s="80"/>
      <c r="Q605" s="5"/>
    </row>
    <row r="606" spans="12:17" x14ac:dyDescent="0.3">
      <c r="L606" s="5"/>
      <c r="M606" s="5"/>
      <c r="N606" s="5"/>
      <c r="O606" s="5"/>
      <c r="P606" s="80"/>
      <c r="Q606" s="5"/>
    </row>
    <row r="607" spans="12:17" x14ac:dyDescent="0.3">
      <c r="L607" s="5"/>
      <c r="M607" s="5"/>
      <c r="N607" s="5"/>
      <c r="O607" s="5"/>
      <c r="P607" s="80"/>
      <c r="Q607" s="5"/>
    </row>
    <row r="608" spans="12:17" x14ac:dyDescent="0.3">
      <c r="L608" s="5"/>
      <c r="M608" s="5"/>
      <c r="N608" s="5"/>
      <c r="O608" s="5"/>
      <c r="P608" s="80"/>
      <c r="Q608" s="5"/>
    </row>
    <row r="609" spans="12:17" x14ac:dyDescent="0.3">
      <c r="L609" s="5"/>
      <c r="M609" s="5"/>
      <c r="N609" s="5"/>
      <c r="O609" s="5"/>
      <c r="P609" s="80"/>
      <c r="Q609" s="5"/>
    </row>
    <row r="610" spans="12:17" x14ac:dyDescent="0.3">
      <c r="L610" s="5"/>
      <c r="M610" s="5"/>
      <c r="N610" s="5"/>
      <c r="O610" s="5"/>
      <c r="P610" s="80"/>
      <c r="Q610" s="5"/>
    </row>
    <row r="611" spans="12:17" x14ac:dyDescent="0.3">
      <c r="L611" s="5"/>
      <c r="M611" s="5"/>
      <c r="N611" s="5"/>
      <c r="O611" s="5"/>
      <c r="P611" s="80"/>
      <c r="Q611" s="5"/>
    </row>
    <row r="612" spans="12:17" x14ac:dyDescent="0.3">
      <c r="L612" s="5"/>
      <c r="M612" s="5"/>
      <c r="N612" s="5"/>
      <c r="O612" s="5"/>
      <c r="P612" s="80"/>
      <c r="Q612" s="5"/>
    </row>
    <row r="613" spans="12:17" x14ac:dyDescent="0.3">
      <c r="L613" s="5"/>
      <c r="M613" s="5"/>
      <c r="N613" s="5"/>
      <c r="O613" s="5"/>
      <c r="P613" s="80"/>
      <c r="Q613" s="5"/>
    </row>
    <row r="614" spans="12:17" x14ac:dyDescent="0.3">
      <c r="L614" s="5"/>
      <c r="M614" s="5"/>
      <c r="N614" s="5"/>
      <c r="O614" s="5"/>
      <c r="P614" s="80"/>
      <c r="Q614" s="5"/>
    </row>
    <row r="615" spans="12:17" x14ac:dyDescent="0.3">
      <c r="L615" s="5"/>
      <c r="M615" s="5"/>
      <c r="N615" s="5"/>
      <c r="O615" s="5"/>
      <c r="P615" s="80"/>
      <c r="Q615" s="5"/>
    </row>
    <row r="616" spans="12:17" x14ac:dyDescent="0.3">
      <c r="L616" s="5"/>
      <c r="M616" s="5"/>
      <c r="N616" s="5"/>
      <c r="O616" s="5"/>
      <c r="P616" s="80"/>
      <c r="Q616" s="5"/>
    </row>
    <row r="617" spans="12:17" x14ac:dyDescent="0.3">
      <c r="L617" s="5"/>
      <c r="M617" s="5"/>
      <c r="N617" s="5"/>
      <c r="O617" s="5"/>
      <c r="P617" s="80"/>
      <c r="Q617" s="5"/>
    </row>
    <row r="618" spans="12:17" x14ac:dyDescent="0.3">
      <c r="L618" s="5"/>
      <c r="M618" s="5"/>
      <c r="N618" s="5"/>
      <c r="O618" s="5"/>
      <c r="P618" s="80"/>
      <c r="Q618" s="5"/>
    </row>
    <row r="619" spans="12:17" x14ac:dyDescent="0.3">
      <c r="L619" s="5"/>
      <c r="M619" s="5"/>
      <c r="N619" s="5"/>
      <c r="O619" s="5"/>
      <c r="P619" s="80"/>
      <c r="Q619" s="5"/>
    </row>
    <row r="620" spans="12:17" x14ac:dyDescent="0.3">
      <c r="L620" s="5"/>
      <c r="M620" s="5"/>
      <c r="N620" s="5"/>
      <c r="O620" s="5"/>
      <c r="P620" s="80"/>
      <c r="Q620" s="5"/>
    </row>
    <row r="621" spans="12:17" x14ac:dyDescent="0.3">
      <c r="L621" s="5"/>
      <c r="M621" s="5"/>
      <c r="N621" s="5"/>
      <c r="O621" s="5"/>
      <c r="P621" s="80"/>
      <c r="Q621" s="5"/>
    </row>
    <row r="622" spans="12:17" x14ac:dyDescent="0.3">
      <c r="L622" s="5"/>
      <c r="M622" s="5"/>
      <c r="N622" s="5"/>
      <c r="O622" s="5"/>
      <c r="P622" s="80"/>
      <c r="Q622" s="5"/>
    </row>
    <row r="623" spans="12:17" x14ac:dyDescent="0.3">
      <c r="L623" s="5"/>
      <c r="M623" s="5"/>
      <c r="N623" s="5"/>
      <c r="O623" s="5"/>
      <c r="P623" s="80"/>
      <c r="Q623" s="5"/>
    </row>
    <row r="624" spans="12:17" x14ac:dyDescent="0.3">
      <c r="L624" s="5"/>
      <c r="M624" s="5"/>
      <c r="N624" s="5"/>
      <c r="O624" s="5"/>
      <c r="P624" s="80"/>
      <c r="Q624" s="5"/>
    </row>
    <row r="625" spans="12:17" x14ac:dyDescent="0.3">
      <c r="L625" s="5"/>
      <c r="M625" s="5"/>
      <c r="N625" s="5"/>
      <c r="O625" s="5"/>
      <c r="P625" s="80"/>
      <c r="Q625" s="5"/>
    </row>
    <row r="626" spans="12:17" x14ac:dyDescent="0.3">
      <c r="L626" s="5"/>
      <c r="M626" s="5"/>
      <c r="N626" s="5"/>
      <c r="O626" s="5"/>
      <c r="P626" s="80"/>
      <c r="Q626" s="5"/>
    </row>
    <row r="627" spans="12:17" x14ac:dyDescent="0.3">
      <c r="L627" s="5"/>
      <c r="M627" s="5"/>
      <c r="N627" s="5"/>
      <c r="O627" s="5"/>
      <c r="P627" s="80"/>
      <c r="Q627" s="5"/>
    </row>
    <row r="628" spans="12:17" x14ac:dyDescent="0.3">
      <c r="L628" s="5"/>
      <c r="M628" s="5"/>
      <c r="N628" s="5"/>
      <c r="O628" s="5"/>
      <c r="P628" s="80"/>
      <c r="Q628" s="5"/>
    </row>
    <row r="629" spans="12:17" x14ac:dyDescent="0.3">
      <c r="L629" s="5"/>
      <c r="M629" s="5"/>
      <c r="N629" s="5"/>
      <c r="O629" s="5"/>
      <c r="P629" s="80"/>
      <c r="Q629" s="5"/>
    </row>
    <row r="630" spans="12:17" x14ac:dyDescent="0.3">
      <c r="L630" s="5"/>
      <c r="M630" s="5"/>
      <c r="N630" s="5"/>
      <c r="O630" s="5"/>
      <c r="P630" s="80"/>
      <c r="Q630" s="5"/>
    </row>
    <row r="631" spans="12:17" x14ac:dyDescent="0.3">
      <c r="L631" s="5"/>
      <c r="M631" s="5"/>
      <c r="N631" s="5"/>
      <c r="O631" s="5"/>
      <c r="P631" s="80"/>
      <c r="Q631" s="5"/>
    </row>
    <row r="632" spans="12:17" x14ac:dyDescent="0.3">
      <c r="L632" s="5"/>
      <c r="M632" s="5"/>
      <c r="N632" s="5"/>
      <c r="O632" s="5"/>
      <c r="P632" s="80"/>
      <c r="Q632" s="5"/>
    </row>
    <row r="633" spans="12:17" x14ac:dyDescent="0.3">
      <c r="L633" s="5"/>
      <c r="M633" s="5"/>
      <c r="N633" s="5"/>
      <c r="O633" s="5"/>
      <c r="P633" s="80"/>
      <c r="Q633" s="5"/>
    </row>
    <row r="634" spans="12:17" x14ac:dyDescent="0.3">
      <c r="L634" s="5"/>
      <c r="M634" s="5"/>
      <c r="N634" s="5"/>
      <c r="O634" s="5"/>
      <c r="P634" s="80"/>
      <c r="Q634" s="5"/>
    </row>
    <row r="635" spans="12:17" x14ac:dyDescent="0.3">
      <c r="L635" s="5"/>
      <c r="M635" s="5"/>
      <c r="N635" s="5"/>
      <c r="O635" s="5"/>
      <c r="P635" s="80"/>
      <c r="Q635" s="5"/>
    </row>
    <row r="636" spans="12:17" x14ac:dyDescent="0.3">
      <c r="L636" s="5"/>
      <c r="M636" s="5"/>
      <c r="N636" s="5"/>
      <c r="O636" s="5"/>
      <c r="P636" s="80"/>
      <c r="Q636" s="5"/>
    </row>
    <row r="637" spans="12:17" x14ac:dyDescent="0.3">
      <c r="L637" s="5"/>
      <c r="M637" s="5"/>
      <c r="N637" s="5"/>
      <c r="O637" s="5"/>
      <c r="P637" s="80"/>
      <c r="Q637" s="5"/>
    </row>
    <row r="638" spans="12:17" x14ac:dyDescent="0.3">
      <c r="L638" s="5"/>
      <c r="M638" s="5"/>
      <c r="N638" s="5"/>
      <c r="O638" s="5"/>
      <c r="P638" s="80"/>
      <c r="Q638" s="5"/>
    </row>
    <row r="639" spans="12:17" x14ac:dyDescent="0.3">
      <c r="L639" s="5"/>
      <c r="M639" s="5"/>
      <c r="N639" s="5"/>
      <c r="O639" s="5"/>
      <c r="P639" s="80"/>
      <c r="Q639" s="5"/>
    </row>
    <row r="640" spans="12:17" x14ac:dyDescent="0.3">
      <c r="L640" s="5"/>
      <c r="M640" s="5"/>
      <c r="N640" s="5"/>
      <c r="O640" s="5"/>
      <c r="P640" s="80"/>
      <c r="Q640" s="5"/>
    </row>
    <row r="641" spans="12:17" x14ac:dyDescent="0.3">
      <c r="L641" s="5"/>
      <c r="M641" s="5"/>
      <c r="N641" s="5"/>
      <c r="O641" s="5"/>
      <c r="P641" s="80"/>
      <c r="Q641" s="5"/>
    </row>
    <row r="642" spans="12:17" x14ac:dyDescent="0.3">
      <c r="L642" s="5"/>
      <c r="M642" s="5"/>
      <c r="N642" s="5"/>
      <c r="O642" s="5"/>
      <c r="P642" s="80"/>
      <c r="Q642" s="5"/>
    </row>
    <row r="643" spans="12:17" x14ac:dyDescent="0.3">
      <c r="L643" s="5"/>
      <c r="M643" s="5"/>
      <c r="N643" s="5"/>
      <c r="O643" s="5"/>
      <c r="P643" s="80"/>
      <c r="Q643" s="5"/>
    </row>
    <row r="644" spans="12:17" x14ac:dyDescent="0.3">
      <c r="L644" s="5"/>
      <c r="M644" s="5"/>
      <c r="N644" s="5"/>
      <c r="O644" s="5"/>
      <c r="P644" s="80"/>
      <c r="Q644" s="5"/>
    </row>
    <row r="645" spans="12:17" x14ac:dyDescent="0.3">
      <c r="L645" s="5"/>
      <c r="M645" s="5"/>
      <c r="N645" s="5"/>
      <c r="O645" s="5"/>
      <c r="P645" s="80"/>
      <c r="Q645" s="5"/>
    </row>
    <row r="646" spans="12:17" x14ac:dyDescent="0.3">
      <c r="L646" s="5"/>
      <c r="M646" s="5"/>
      <c r="N646" s="5"/>
      <c r="O646" s="5"/>
      <c r="P646" s="80"/>
      <c r="Q646" s="5"/>
    </row>
    <row r="647" spans="12:17" x14ac:dyDescent="0.3">
      <c r="L647" s="5"/>
      <c r="M647" s="5"/>
      <c r="N647" s="5"/>
      <c r="O647" s="5"/>
      <c r="P647" s="80"/>
      <c r="Q647" s="5"/>
    </row>
    <row r="648" spans="12:17" x14ac:dyDescent="0.3">
      <c r="L648" s="5"/>
      <c r="M648" s="5"/>
      <c r="N648" s="5"/>
      <c r="O648" s="5"/>
      <c r="P648" s="80"/>
      <c r="Q648" s="5"/>
    </row>
    <row r="649" spans="12:17" x14ac:dyDescent="0.3">
      <c r="L649" s="5"/>
      <c r="M649" s="5"/>
      <c r="N649" s="5"/>
      <c r="O649" s="5"/>
      <c r="P649" s="80"/>
      <c r="Q649" s="5"/>
    </row>
    <row r="650" spans="12:17" x14ac:dyDescent="0.3">
      <c r="L650" s="5"/>
      <c r="M650" s="5"/>
      <c r="N650" s="5"/>
      <c r="O650" s="5"/>
      <c r="P650" s="80"/>
      <c r="Q650" s="5"/>
    </row>
    <row r="651" spans="12:17" x14ac:dyDescent="0.3">
      <c r="L651" s="5"/>
      <c r="M651" s="5"/>
      <c r="N651" s="5"/>
      <c r="O651" s="5"/>
      <c r="P651" s="80"/>
      <c r="Q651" s="5"/>
    </row>
    <row r="652" spans="12:17" x14ac:dyDescent="0.3">
      <c r="L652" s="5"/>
      <c r="M652" s="5"/>
      <c r="N652" s="5"/>
      <c r="O652" s="5"/>
      <c r="P652" s="80"/>
      <c r="Q652" s="5"/>
    </row>
    <row r="653" spans="12:17" x14ac:dyDescent="0.3">
      <c r="L653" s="5"/>
      <c r="M653" s="5"/>
      <c r="N653" s="5"/>
      <c r="O653" s="5"/>
      <c r="P653" s="80"/>
      <c r="Q653" s="5"/>
    </row>
    <row r="654" spans="12:17" x14ac:dyDescent="0.3">
      <c r="L654" s="5"/>
      <c r="M654" s="5"/>
      <c r="N654" s="5"/>
      <c r="O654" s="5"/>
      <c r="P654" s="80"/>
      <c r="Q654" s="5"/>
    </row>
    <row r="655" spans="12:17" x14ac:dyDescent="0.3">
      <c r="L655" s="5"/>
      <c r="M655" s="5"/>
      <c r="N655" s="5"/>
      <c r="O655" s="5"/>
      <c r="P655" s="80"/>
      <c r="Q655" s="5"/>
    </row>
    <row r="656" spans="12:17" x14ac:dyDescent="0.3">
      <c r="L656" s="5"/>
      <c r="M656" s="5"/>
      <c r="N656" s="5"/>
      <c r="O656" s="5"/>
      <c r="P656" s="80"/>
      <c r="Q656" s="5"/>
    </row>
    <row r="657" spans="12:17" x14ac:dyDescent="0.3">
      <c r="L657" s="5"/>
      <c r="M657" s="5"/>
      <c r="N657" s="5"/>
      <c r="O657" s="5"/>
      <c r="P657" s="80"/>
      <c r="Q657" s="5"/>
    </row>
    <row r="658" spans="12:17" x14ac:dyDescent="0.3">
      <c r="L658" s="5"/>
      <c r="M658" s="5"/>
      <c r="N658" s="5"/>
      <c r="O658" s="5"/>
      <c r="P658" s="80"/>
      <c r="Q658" s="5"/>
    </row>
    <row r="659" spans="12:17" x14ac:dyDescent="0.3">
      <c r="L659" s="5"/>
      <c r="M659" s="5"/>
      <c r="N659" s="5"/>
      <c r="O659" s="5"/>
      <c r="P659" s="80"/>
      <c r="Q659" s="5"/>
    </row>
    <row r="660" spans="12:17" x14ac:dyDescent="0.3">
      <c r="L660" s="5"/>
      <c r="M660" s="5"/>
      <c r="N660" s="5"/>
      <c r="O660" s="5"/>
      <c r="P660" s="80"/>
      <c r="Q660" s="5"/>
    </row>
    <row r="661" spans="12:17" x14ac:dyDescent="0.3">
      <c r="L661" s="5"/>
      <c r="M661" s="5"/>
      <c r="N661" s="5"/>
      <c r="O661" s="5"/>
      <c r="P661" s="80"/>
      <c r="Q661" s="5"/>
    </row>
    <row r="662" spans="12:17" x14ac:dyDescent="0.3">
      <c r="L662" s="5"/>
      <c r="M662" s="5"/>
      <c r="N662" s="5"/>
      <c r="O662" s="5"/>
      <c r="P662" s="80"/>
      <c r="Q662" s="5"/>
    </row>
    <row r="663" spans="12:17" x14ac:dyDescent="0.3">
      <c r="L663" s="5"/>
      <c r="M663" s="5"/>
      <c r="N663" s="5"/>
      <c r="O663" s="5"/>
      <c r="P663" s="80"/>
      <c r="Q663" s="5"/>
    </row>
    <row r="664" spans="12:17" x14ac:dyDescent="0.3">
      <c r="L664" s="5"/>
      <c r="M664" s="5"/>
      <c r="N664" s="5"/>
      <c r="O664" s="5"/>
      <c r="P664" s="80"/>
      <c r="Q664" s="5"/>
    </row>
    <row r="665" spans="12:17" x14ac:dyDescent="0.3">
      <c r="L665" s="5"/>
      <c r="M665" s="5"/>
      <c r="N665" s="5"/>
      <c r="O665" s="5"/>
      <c r="P665" s="80"/>
      <c r="Q665" s="5"/>
    </row>
    <row r="666" spans="12:17" x14ac:dyDescent="0.3">
      <c r="L666" s="5"/>
      <c r="M666" s="5"/>
      <c r="N666" s="5"/>
      <c r="O666" s="5"/>
      <c r="P666" s="80"/>
      <c r="Q666" s="5"/>
    </row>
    <row r="667" spans="12:17" x14ac:dyDescent="0.3">
      <c r="L667" s="5"/>
      <c r="M667" s="5"/>
      <c r="N667" s="5"/>
      <c r="O667" s="5"/>
      <c r="P667" s="80"/>
      <c r="Q667" s="5"/>
    </row>
    <row r="668" spans="12:17" x14ac:dyDescent="0.3">
      <c r="L668" s="5"/>
      <c r="M668" s="5"/>
      <c r="N668" s="5"/>
      <c r="O668" s="5"/>
      <c r="P668" s="80"/>
      <c r="Q668" s="5"/>
    </row>
    <row r="669" spans="12:17" x14ac:dyDescent="0.3">
      <c r="L669" s="5"/>
      <c r="M669" s="5"/>
      <c r="N669" s="5"/>
      <c r="O669" s="5"/>
      <c r="P669" s="80"/>
      <c r="Q669" s="5"/>
    </row>
    <row r="670" spans="12:17" x14ac:dyDescent="0.3">
      <c r="L670" s="5"/>
      <c r="M670" s="5"/>
      <c r="N670" s="5"/>
      <c r="O670" s="5"/>
      <c r="P670" s="80"/>
      <c r="Q670" s="5"/>
    </row>
    <row r="671" spans="12:17" x14ac:dyDescent="0.3">
      <c r="L671" s="5"/>
      <c r="M671" s="5"/>
      <c r="N671" s="5"/>
      <c r="O671" s="5"/>
      <c r="P671" s="80"/>
      <c r="Q671" s="5"/>
    </row>
    <row r="672" spans="12:17" x14ac:dyDescent="0.3">
      <c r="L672" s="5"/>
      <c r="M672" s="5"/>
      <c r="N672" s="5"/>
      <c r="O672" s="5"/>
      <c r="P672" s="80"/>
      <c r="Q672" s="5"/>
    </row>
    <row r="673" spans="12:17" x14ac:dyDescent="0.3">
      <c r="L673" s="5"/>
      <c r="M673" s="5"/>
      <c r="N673" s="5"/>
      <c r="O673" s="5"/>
      <c r="P673" s="80"/>
      <c r="Q673" s="5"/>
    </row>
    <row r="674" spans="12:17" x14ac:dyDescent="0.3">
      <c r="L674" s="5"/>
      <c r="M674" s="5"/>
      <c r="N674" s="5"/>
      <c r="O674" s="5"/>
      <c r="P674" s="80"/>
      <c r="Q674" s="5"/>
    </row>
    <row r="675" spans="12:17" x14ac:dyDescent="0.3">
      <c r="L675" s="5"/>
      <c r="M675" s="5"/>
      <c r="N675" s="5"/>
      <c r="O675" s="5"/>
      <c r="P675" s="80"/>
      <c r="Q675" s="5"/>
    </row>
    <row r="676" spans="12:17" x14ac:dyDescent="0.3">
      <c r="L676" s="5"/>
      <c r="M676" s="5"/>
      <c r="N676" s="5"/>
      <c r="O676" s="5"/>
      <c r="P676" s="80"/>
      <c r="Q676" s="5"/>
    </row>
    <row r="677" spans="12:17" x14ac:dyDescent="0.3">
      <c r="L677" s="5"/>
      <c r="M677" s="5"/>
      <c r="N677" s="5"/>
      <c r="O677" s="5"/>
      <c r="P677" s="80"/>
      <c r="Q677" s="5"/>
    </row>
    <row r="678" spans="12:17" x14ac:dyDescent="0.3">
      <c r="L678" s="5"/>
      <c r="M678" s="5"/>
      <c r="N678" s="5"/>
      <c r="O678" s="5"/>
      <c r="P678" s="80"/>
      <c r="Q678" s="5"/>
    </row>
    <row r="679" spans="12:17" x14ac:dyDescent="0.3">
      <c r="L679" s="5"/>
      <c r="M679" s="5"/>
      <c r="N679" s="5"/>
      <c r="O679" s="5"/>
      <c r="P679" s="80"/>
      <c r="Q679" s="5"/>
    </row>
    <row r="680" spans="12:17" x14ac:dyDescent="0.3">
      <c r="L680" s="5"/>
      <c r="M680" s="5"/>
      <c r="N680" s="5"/>
      <c r="O680" s="5"/>
      <c r="P680" s="80"/>
      <c r="Q680" s="5"/>
    </row>
    <row r="681" spans="12:17" x14ac:dyDescent="0.3">
      <c r="L681" s="5"/>
      <c r="M681" s="5"/>
      <c r="N681" s="5"/>
      <c r="O681" s="5"/>
      <c r="P681" s="80"/>
      <c r="Q681" s="5"/>
    </row>
    <row r="682" spans="12:17" x14ac:dyDescent="0.3">
      <c r="L682" s="5"/>
      <c r="M682" s="5"/>
      <c r="N682" s="5"/>
      <c r="O682" s="5"/>
      <c r="P682" s="80"/>
      <c r="Q682" s="5"/>
    </row>
    <row r="683" spans="12:17" x14ac:dyDescent="0.3">
      <c r="L683" s="5"/>
      <c r="M683" s="5"/>
      <c r="N683" s="5"/>
      <c r="O683" s="5"/>
      <c r="P683" s="80"/>
      <c r="Q683" s="5"/>
    </row>
    <row r="684" spans="12:17" x14ac:dyDescent="0.3">
      <c r="L684" s="5"/>
      <c r="M684" s="5"/>
      <c r="N684" s="5"/>
      <c r="O684" s="5"/>
      <c r="P684" s="80"/>
      <c r="Q684" s="5"/>
    </row>
    <row r="685" spans="12:17" x14ac:dyDescent="0.3">
      <c r="L685" s="5"/>
      <c r="M685" s="5"/>
      <c r="N685" s="5"/>
      <c r="O685" s="5"/>
      <c r="P685" s="80"/>
      <c r="Q685" s="5"/>
    </row>
    <row r="686" spans="12:17" x14ac:dyDescent="0.3">
      <c r="L686" s="5"/>
      <c r="M686" s="5"/>
      <c r="N686" s="5"/>
      <c r="O686" s="5"/>
      <c r="P686" s="80"/>
      <c r="Q686" s="5"/>
    </row>
    <row r="687" spans="12:17" x14ac:dyDescent="0.3">
      <c r="L687" s="5"/>
      <c r="M687" s="5"/>
      <c r="N687" s="5"/>
      <c r="O687" s="5"/>
      <c r="P687" s="80"/>
      <c r="Q687" s="5"/>
    </row>
    <row r="688" spans="12:17" x14ac:dyDescent="0.3">
      <c r="L688" s="5"/>
      <c r="M688" s="5"/>
      <c r="N688" s="5"/>
      <c r="O688" s="5"/>
      <c r="P688" s="80"/>
      <c r="Q688" s="5"/>
    </row>
    <row r="689" spans="12:17" x14ac:dyDescent="0.3">
      <c r="L689" s="5"/>
      <c r="M689" s="5"/>
      <c r="N689" s="5"/>
      <c r="O689" s="5"/>
      <c r="P689" s="80"/>
      <c r="Q689" s="5"/>
    </row>
    <row r="690" spans="12:17" x14ac:dyDescent="0.3">
      <c r="L690" s="5"/>
      <c r="M690" s="5"/>
      <c r="N690" s="5"/>
      <c r="O690" s="5"/>
      <c r="P690" s="80"/>
      <c r="Q690" s="5"/>
    </row>
    <row r="691" spans="12:17" x14ac:dyDescent="0.3">
      <c r="L691" s="5"/>
      <c r="M691" s="5"/>
      <c r="N691" s="5"/>
      <c r="O691" s="5"/>
      <c r="P691" s="80"/>
      <c r="Q691" s="5"/>
    </row>
    <row r="692" spans="12:17" x14ac:dyDescent="0.3">
      <c r="L692" s="5"/>
      <c r="M692" s="5"/>
      <c r="N692" s="5"/>
      <c r="O692" s="5"/>
      <c r="P692" s="80"/>
      <c r="Q692" s="5"/>
    </row>
    <row r="693" spans="12:17" x14ac:dyDescent="0.3">
      <c r="L693" s="5"/>
      <c r="M693" s="5"/>
      <c r="N693" s="5"/>
      <c r="O693" s="5"/>
      <c r="P693" s="80"/>
      <c r="Q693" s="5"/>
    </row>
    <row r="694" spans="12:17" x14ac:dyDescent="0.3">
      <c r="L694" s="5"/>
      <c r="M694" s="5"/>
      <c r="N694" s="5"/>
      <c r="O694" s="5"/>
      <c r="P694" s="80"/>
      <c r="Q694" s="5"/>
    </row>
    <row r="695" spans="12:17" x14ac:dyDescent="0.3">
      <c r="L695" s="5"/>
      <c r="M695" s="5"/>
      <c r="N695" s="5"/>
      <c r="O695" s="5"/>
      <c r="P695" s="80"/>
      <c r="Q695" s="5"/>
    </row>
    <row r="696" spans="12:17" x14ac:dyDescent="0.3">
      <c r="L696" s="5"/>
      <c r="M696" s="5"/>
      <c r="N696" s="5"/>
      <c r="O696" s="5"/>
      <c r="P696" s="80"/>
      <c r="Q696" s="5"/>
    </row>
    <row r="697" spans="12:17" x14ac:dyDescent="0.3">
      <c r="L697" s="5"/>
      <c r="M697" s="5"/>
      <c r="N697" s="5"/>
      <c r="O697" s="5"/>
      <c r="P697" s="80"/>
      <c r="Q697" s="5"/>
    </row>
    <row r="698" spans="12:17" x14ac:dyDescent="0.3">
      <c r="L698" s="5"/>
      <c r="M698" s="5"/>
      <c r="N698" s="5"/>
      <c r="O698" s="5"/>
      <c r="P698" s="80"/>
      <c r="Q698" s="5"/>
    </row>
    <row r="699" spans="12:17" x14ac:dyDescent="0.3">
      <c r="L699" s="5"/>
      <c r="M699" s="5"/>
      <c r="N699" s="5"/>
      <c r="O699" s="5"/>
      <c r="P699" s="80"/>
      <c r="Q699" s="5"/>
    </row>
    <row r="700" spans="12:17" x14ac:dyDescent="0.3">
      <c r="L700" s="5"/>
      <c r="M700" s="5"/>
      <c r="N700" s="5"/>
      <c r="O700" s="5"/>
      <c r="P700" s="80"/>
      <c r="Q700" s="5"/>
    </row>
    <row r="701" spans="12:17" x14ac:dyDescent="0.3">
      <c r="L701" s="5"/>
      <c r="M701" s="5"/>
      <c r="N701" s="5"/>
      <c r="O701" s="5"/>
      <c r="P701" s="80"/>
      <c r="Q701" s="5"/>
    </row>
    <row r="702" spans="12:17" x14ac:dyDescent="0.3">
      <c r="L702" s="5"/>
      <c r="M702" s="5"/>
      <c r="N702" s="5"/>
      <c r="O702" s="5"/>
      <c r="P702" s="80"/>
      <c r="Q702" s="5"/>
    </row>
    <row r="703" spans="12:17" x14ac:dyDescent="0.3">
      <c r="L703" s="5"/>
      <c r="M703" s="5"/>
      <c r="N703" s="5"/>
      <c r="O703" s="5"/>
      <c r="P703" s="80"/>
      <c r="Q703" s="5"/>
    </row>
    <row r="704" spans="12:17" x14ac:dyDescent="0.3">
      <c r="L704" s="5"/>
      <c r="M704" s="5"/>
      <c r="N704" s="5"/>
      <c r="O704" s="5"/>
      <c r="P704" s="80"/>
      <c r="Q704" s="5"/>
    </row>
    <row r="705" spans="12:17" x14ac:dyDescent="0.3">
      <c r="L705" s="5"/>
      <c r="M705" s="5"/>
      <c r="N705" s="5"/>
      <c r="O705" s="5"/>
      <c r="P705" s="80"/>
      <c r="Q705" s="5"/>
    </row>
    <row r="706" spans="12:17" x14ac:dyDescent="0.3">
      <c r="L706" s="5"/>
      <c r="M706" s="5"/>
      <c r="N706" s="5"/>
      <c r="O706" s="5"/>
      <c r="P706" s="80"/>
      <c r="Q706" s="5"/>
    </row>
    <row r="707" spans="12:17" x14ac:dyDescent="0.3">
      <c r="L707" s="5"/>
      <c r="M707" s="5"/>
      <c r="N707" s="5"/>
      <c r="O707" s="5"/>
      <c r="P707" s="80"/>
      <c r="Q707" s="5"/>
    </row>
    <row r="708" spans="12:17" x14ac:dyDescent="0.3">
      <c r="L708" s="5"/>
      <c r="M708" s="5"/>
      <c r="N708" s="5"/>
      <c r="O708" s="5"/>
      <c r="P708" s="80"/>
      <c r="Q708" s="5"/>
    </row>
    <row r="709" spans="12:17" x14ac:dyDescent="0.3">
      <c r="L709" s="5"/>
      <c r="M709" s="5"/>
      <c r="N709" s="5"/>
      <c r="O709" s="5"/>
      <c r="P709" s="80"/>
      <c r="Q709" s="5"/>
    </row>
    <row r="710" spans="12:17" x14ac:dyDescent="0.3">
      <c r="L710" s="5"/>
      <c r="M710" s="5"/>
      <c r="N710" s="5"/>
      <c r="O710" s="5"/>
      <c r="P710" s="80"/>
      <c r="Q710" s="5"/>
    </row>
    <row r="711" spans="12:17" x14ac:dyDescent="0.3">
      <c r="L711" s="5"/>
      <c r="M711" s="5"/>
      <c r="N711" s="5"/>
      <c r="O711" s="5"/>
      <c r="P711" s="80"/>
      <c r="Q711" s="5"/>
    </row>
    <row r="712" spans="12:17" x14ac:dyDescent="0.3">
      <c r="L712" s="5"/>
      <c r="M712" s="5"/>
      <c r="N712" s="5"/>
      <c r="O712" s="5"/>
      <c r="P712" s="80"/>
      <c r="Q712" s="5"/>
    </row>
    <row r="713" spans="12:17" x14ac:dyDescent="0.3">
      <c r="L713" s="5"/>
      <c r="M713" s="5"/>
      <c r="N713" s="5"/>
      <c r="O713" s="5"/>
      <c r="P713" s="80"/>
      <c r="Q713" s="5"/>
    </row>
    <row r="714" spans="12:17" x14ac:dyDescent="0.3">
      <c r="L714" s="5"/>
      <c r="M714" s="5"/>
      <c r="N714" s="5"/>
      <c r="O714" s="5"/>
      <c r="P714" s="80"/>
      <c r="Q714" s="5"/>
    </row>
    <row r="715" spans="12:17" x14ac:dyDescent="0.3">
      <c r="L715" s="5"/>
      <c r="M715" s="5"/>
      <c r="N715" s="5"/>
      <c r="O715" s="5"/>
      <c r="P715" s="80"/>
      <c r="Q715" s="5"/>
    </row>
    <row r="716" spans="12:17" x14ac:dyDescent="0.3">
      <c r="L716" s="5"/>
      <c r="M716" s="5"/>
      <c r="N716" s="5"/>
      <c r="O716" s="5"/>
      <c r="P716" s="80"/>
      <c r="Q716" s="5"/>
    </row>
    <row r="717" spans="12:17" x14ac:dyDescent="0.3">
      <c r="L717" s="5"/>
      <c r="M717" s="5"/>
      <c r="N717" s="5"/>
      <c r="O717" s="5"/>
      <c r="P717" s="80"/>
      <c r="Q717" s="5"/>
    </row>
    <row r="718" spans="12:17" x14ac:dyDescent="0.3">
      <c r="L718" s="5"/>
      <c r="M718" s="5"/>
      <c r="N718" s="5"/>
      <c r="O718" s="5"/>
      <c r="P718" s="80"/>
      <c r="Q718" s="5"/>
    </row>
    <row r="719" spans="12:17" x14ac:dyDescent="0.3">
      <c r="L719" s="5"/>
      <c r="M719" s="5"/>
      <c r="N719" s="5"/>
      <c r="O719" s="5"/>
      <c r="P719" s="80"/>
      <c r="Q719" s="5"/>
    </row>
    <row r="720" spans="12:17" x14ac:dyDescent="0.3">
      <c r="L720" s="5"/>
      <c r="M720" s="5"/>
      <c r="N720" s="5"/>
      <c r="O720" s="5"/>
      <c r="P720" s="80"/>
      <c r="Q720" s="5"/>
    </row>
    <row r="721" spans="12:17" x14ac:dyDescent="0.3">
      <c r="L721" s="5"/>
      <c r="M721" s="5"/>
      <c r="N721" s="5"/>
      <c r="O721" s="5"/>
      <c r="P721" s="80"/>
      <c r="Q721" s="5"/>
    </row>
    <row r="722" spans="12:17" x14ac:dyDescent="0.3">
      <c r="L722" s="5"/>
      <c r="M722" s="5"/>
      <c r="N722" s="5"/>
      <c r="O722" s="5"/>
      <c r="P722" s="80"/>
      <c r="Q722" s="5"/>
    </row>
    <row r="723" spans="12:17" x14ac:dyDescent="0.3">
      <c r="L723" s="5"/>
      <c r="M723" s="5"/>
      <c r="N723" s="5"/>
      <c r="O723" s="5"/>
      <c r="P723" s="80"/>
      <c r="Q723" s="5"/>
    </row>
    <row r="724" spans="12:17" x14ac:dyDescent="0.3">
      <c r="L724" s="5"/>
      <c r="M724" s="5"/>
      <c r="N724" s="5"/>
      <c r="O724" s="5"/>
      <c r="P724" s="80"/>
      <c r="Q724" s="5"/>
    </row>
    <row r="725" spans="12:17" x14ac:dyDescent="0.3">
      <c r="L725" s="5"/>
      <c r="M725" s="5"/>
      <c r="N725" s="5"/>
      <c r="O725" s="5"/>
      <c r="P725" s="80"/>
      <c r="Q725" s="5"/>
    </row>
    <row r="726" spans="12:17" x14ac:dyDescent="0.3">
      <c r="L726" s="5"/>
      <c r="M726" s="5"/>
      <c r="N726" s="5"/>
      <c r="O726" s="5"/>
      <c r="P726" s="80"/>
      <c r="Q726" s="5"/>
    </row>
    <row r="727" spans="12:17" x14ac:dyDescent="0.3">
      <c r="L727" s="5"/>
      <c r="M727" s="5"/>
      <c r="N727" s="5"/>
      <c r="O727" s="5"/>
      <c r="P727" s="80"/>
      <c r="Q727" s="5"/>
    </row>
    <row r="728" spans="12:17" x14ac:dyDescent="0.3">
      <c r="L728" s="5"/>
      <c r="M728" s="5"/>
      <c r="N728" s="5"/>
      <c r="O728" s="5"/>
      <c r="P728" s="80"/>
      <c r="Q728" s="5"/>
    </row>
    <row r="729" spans="12:17" x14ac:dyDescent="0.3">
      <c r="L729" s="5"/>
      <c r="M729" s="5"/>
      <c r="N729" s="5"/>
      <c r="O729" s="5"/>
      <c r="P729" s="80"/>
      <c r="Q729" s="5"/>
    </row>
    <row r="730" spans="12:17" x14ac:dyDescent="0.3">
      <c r="L730" s="5"/>
      <c r="M730" s="5"/>
      <c r="N730" s="5"/>
      <c r="O730" s="5"/>
      <c r="P730" s="80"/>
      <c r="Q730" s="5"/>
    </row>
    <row r="731" spans="12:17" x14ac:dyDescent="0.3">
      <c r="L731" s="5"/>
      <c r="M731" s="5"/>
      <c r="N731" s="5"/>
      <c r="O731" s="5"/>
      <c r="P731" s="80"/>
      <c r="Q731" s="5"/>
    </row>
    <row r="732" spans="12:17" x14ac:dyDescent="0.3">
      <c r="L732" s="5"/>
      <c r="M732" s="5"/>
      <c r="N732" s="5"/>
      <c r="O732" s="5"/>
      <c r="P732" s="80"/>
      <c r="Q732" s="5"/>
    </row>
    <row r="733" spans="12:17" x14ac:dyDescent="0.3">
      <c r="L733" s="5"/>
      <c r="M733" s="5"/>
      <c r="N733" s="5"/>
      <c r="O733" s="5"/>
      <c r="P733" s="80"/>
      <c r="Q733" s="5"/>
    </row>
    <row r="734" spans="12:17" x14ac:dyDescent="0.3">
      <c r="L734" s="5"/>
      <c r="M734" s="5"/>
      <c r="N734" s="5"/>
      <c r="O734" s="5"/>
      <c r="P734" s="80"/>
      <c r="Q734" s="5"/>
    </row>
    <row r="735" spans="12:17" x14ac:dyDescent="0.3">
      <c r="L735" s="5"/>
      <c r="M735" s="5"/>
      <c r="N735" s="5"/>
      <c r="O735" s="5"/>
      <c r="P735" s="80"/>
      <c r="Q735" s="5"/>
    </row>
    <row r="736" spans="12:17" x14ac:dyDescent="0.3">
      <c r="L736" s="5"/>
      <c r="M736" s="5"/>
      <c r="N736" s="5"/>
      <c r="O736" s="5"/>
      <c r="P736" s="80"/>
      <c r="Q736" s="5"/>
    </row>
    <row r="737" spans="12:17" x14ac:dyDescent="0.3">
      <c r="L737" s="5"/>
      <c r="M737" s="5"/>
      <c r="N737" s="5"/>
      <c r="O737" s="5"/>
      <c r="P737" s="80"/>
      <c r="Q737" s="5"/>
    </row>
    <row r="738" spans="12:17" x14ac:dyDescent="0.3">
      <c r="L738" s="5"/>
      <c r="M738" s="5"/>
      <c r="N738" s="5"/>
      <c r="O738" s="5"/>
      <c r="P738" s="80"/>
      <c r="Q738" s="5"/>
    </row>
    <row r="739" spans="12:17" x14ac:dyDescent="0.3">
      <c r="L739" s="5"/>
      <c r="M739" s="5"/>
      <c r="N739" s="5"/>
      <c r="O739" s="5"/>
      <c r="P739" s="80"/>
      <c r="Q739" s="5"/>
    </row>
    <row r="740" spans="12:17" x14ac:dyDescent="0.3">
      <c r="L740" s="5"/>
      <c r="M740" s="5"/>
      <c r="N740" s="5"/>
      <c r="O740" s="5"/>
      <c r="P740" s="80"/>
      <c r="Q740" s="5"/>
    </row>
    <row r="741" spans="12:17" x14ac:dyDescent="0.3">
      <c r="L741" s="5"/>
      <c r="M741" s="5"/>
      <c r="N741" s="5"/>
      <c r="O741" s="5"/>
      <c r="P741" s="80"/>
      <c r="Q741" s="5"/>
    </row>
    <row r="742" spans="12:17" x14ac:dyDescent="0.3">
      <c r="L742" s="5"/>
      <c r="M742" s="5"/>
      <c r="N742" s="5"/>
      <c r="O742" s="5"/>
      <c r="P742" s="80"/>
      <c r="Q742" s="5"/>
    </row>
    <row r="743" spans="12:17" x14ac:dyDescent="0.3">
      <c r="L743" s="5"/>
      <c r="M743" s="5"/>
      <c r="N743" s="5"/>
      <c r="O743" s="5"/>
      <c r="P743" s="80"/>
      <c r="Q743" s="5"/>
    </row>
    <row r="744" spans="12:17" x14ac:dyDescent="0.3">
      <c r="L744" s="5"/>
      <c r="M744" s="5"/>
      <c r="N744" s="5"/>
      <c r="O744" s="5"/>
      <c r="P744" s="80"/>
      <c r="Q744" s="5"/>
    </row>
    <row r="745" spans="12:17" x14ac:dyDescent="0.3">
      <c r="L745" s="5"/>
      <c r="M745" s="5"/>
      <c r="N745" s="5"/>
      <c r="O745" s="5"/>
      <c r="P745" s="80"/>
      <c r="Q745" s="5"/>
    </row>
    <row r="746" spans="12:17" x14ac:dyDescent="0.3">
      <c r="L746" s="5"/>
      <c r="M746" s="5"/>
      <c r="N746" s="5"/>
      <c r="O746" s="5"/>
      <c r="P746" s="80"/>
      <c r="Q746" s="5"/>
    </row>
    <row r="747" spans="12:17" x14ac:dyDescent="0.3">
      <c r="L747" s="5"/>
      <c r="M747" s="5"/>
      <c r="N747" s="5"/>
      <c r="O747" s="5"/>
      <c r="P747" s="80"/>
      <c r="Q747" s="5"/>
    </row>
    <row r="748" spans="12:17" x14ac:dyDescent="0.3">
      <c r="L748" s="5"/>
      <c r="M748" s="5"/>
      <c r="N748" s="5"/>
      <c r="O748" s="5"/>
      <c r="P748" s="80"/>
      <c r="Q748" s="5"/>
    </row>
    <row r="749" spans="12:17" x14ac:dyDescent="0.3">
      <c r="L749" s="5"/>
      <c r="M749" s="5"/>
      <c r="N749" s="5"/>
      <c r="O749" s="5"/>
      <c r="P749" s="80"/>
      <c r="Q749" s="5"/>
    </row>
    <row r="750" spans="12:17" x14ac:dyDescent="0.3">
      <c r="L750" s="5"/>
      <c r="M750" s="5"/>
      <c r="N750" s="5"/>
      <c r="O750" s="5"/>
      <c r="P750" s="80"/>
      <c r="Q750" s="5"/>
    </row>
    <row r="751" spans="12:17" x14ac:dyDescent="0.3">
      <c r="L751" s="5"/>
      <c r="M751" s="5"/>
      <c r="N751" s="5"/>
      <c r="O751" s="5"/>
      <c r="P751" s="80"/>
      <c r="Q751" s="5"/>
    </row>
    <row r="752" spans="12:17" x14ac:dyDescent="0.3">
      <c r="L752" s="5"/>
      <c r="M752" s="5"/>
      <c r="N752" s="5"/>
      <c r="O752" s="5"/>
      <c r="P752" s="80"/>
      <c r="Q752" s="5"/>
    </row>
    <row r="753" spans="12:17" x14ac:dyDescent="0.3">
      <c r="L753" s="5"/>
      <c r="M753" s="5"/>
      <c r="N753" s="5"/>
      <c r="O753" s="5"/>
      <c r="P753" s="80"/>
      <c r="Q753" s="5"/>
    </row>
    <row r="754" spans="12:17" x14ac:dyDescent="0.3">
      <c r="L754" s="5"/>
      <c r="M754" s="5"/>
      <c r="N754" s="5"/>
      <c r="O754" s="5"/>
      <c r="P754" s="80"/>
      <c r="Q754" s="5"/>
    </row>
    <row r="755" spans="12:17" x14ac:dyDescent="0.3">
      <c r="L755" s="5"/>
      <c r="M755" s="5"/>
      <c r="N755" s="5"/>
      <c r="O755" s="5"/>
      <c r="P755" s="80"/>
      <c r="Q755" s="5"/>
    </row>
    <row r="756" spans="12:17" x14ac:dyDescent="0.3">
      <c r="L756" s="5"/>
      <c r="M756" s="5"/>
      <c r="N756" s="5"/>
      <c r="O756" s="5"/>
      <c r="P756" s="80"/>
      <c r="Q756" s="5"/>
    </row>
    <row r="757" spans="12:17" x14ac:dyDescent="0.3">
      <c r="L757" s="5"/>
      <c r="M757" s="5"/>
      <c r="N757" s="5"/>
      <c r="O757" s="5"/>
      <c r="P757" s="80"/>
      <c r="Q757" s="5"/>
    </row>
    <row r="758" spans="12:17" x14ac:dyDescent="0.3">
      <c r="L758" s="5"/>
      <c r="M758" s="5"/>
      <c r="N758" s="5"/>
      <c r="O758" s="5"/>
      <c r="P758" s="80"/>
      <c r="Q758" s="5"/>
    </row>
    <row r="759" spans="12:17" x14ac:dyDescent="0.3">
      <c r="L759" s="5"/>
      <c r="M759" s="5"/>
      <c r="N759" s="5"/>
      <c r="O759" s="5"/>
      <c r="P759" s="80"/>
      <c r="Q759" s="5"/>
    </row>
    <row r="760" spans="12:17" x14ac:dyDescent="0.3">
      <c r="L760" s="5"/>
      <c r="M760" s="5"/>
      <c r="N760" s="5"/>
      <c r="O760" s="5"/>
      <c r="P760" s="80"/>
      <c r="Q760" s="5"/>
    </row>
    <row r="761" spans="12:17" x14ac:dyDescent="0.3">
      <c r="L761" s="5"/>
      <c r="M761" s="5"/>
      <c r="N761" s="5"/>
      <c r="O761" s="5"/>
      <c r="P761" s="80"/>
      <c r="Q761" s="5"/>
    </row>
    <row r="762" spans="12:17" x14ac:dyDescent="0.3">
      <c r="L762" s="5"/>
      <c r="M762" s="5"/>
      <c r="N762" s="5"/>
      <c r="O762" s="5"/>
      <c r="P762" s="80"/>
      <c r="Q762" s="5"/>
    </row>
    <row r="763" spans="12:17" x14ac:dyDescent="0.3">
      <c r="L763" s="5"/>
      <c r="M763" s="5"/>
      <c r="N763" s="5"/>
      <c r="O763" s="5"/>
      <c r="P763" s="80"/>
      <c r="Q763" s="5"/>
    </row>
    <row r="764" spans="12:17" x14ac:dyDescent="0.3">
      <c r="L764" s="5"/>
      <c r="M764" s="5"/>
      <c r="N764" s="5"/>
      <c r="O764" s="5"/>
      <c r="P764" s="80"/>
      <c r="Q764" s="5"/>
    </row>
    <row r="765" spans="12:17" x14ac:dyDescent="0.3">
      <c r="L765" s="5"/>
      <c r="M765" s="5"/>
      <c r="N765" s="5"/>
      <c r="O765" s="5"/>
      <c r="P765" s="80"/>
      <c r="Q765" s="5"/>
    </row>
    <row r="766" spans="12:17" x14ac:dyDescent="0.3">
      <c r="L766" s="5"/>
      <c r="M766" s="5"/>
      <c r="N766" s="5"/>
      <c r="O766" s="5"/>
      <c r="P766" s="80"/>
      <c r="Q766" s="5"/>
    </row>
    <row r="767" spans="12:17" x14ac:dyDescent="0.3">
      <c r="L767" s="5"/>
      <c r="M767" s="5"/>
      <c r="N767" s="5"/>
      <c r="O767" s="5"/>
      <c r="P767" s="80"/>
      <c r="Q767" s="5"/>
    </row>
    <row r="768" spans="12:17" x14ac:dyDescent="0.3">
      <c r="L768" s="5"/>
      <c r="M768" s="5"/>
      <c r="N768" s="5"/>
      <c r="O768" s="5"/>
      <c r="P768" s="80"/>
      <c r="Q768" s="5"/>
    </row>
    <row r="769" spans="12:17" x14ac:dyDescent="0.3">
      <c r="L769" s="5"/>
      <c r="M769" s="5"/>
      <c r="N769" s="5"/>
      <c r="O769" s="5"/>
      <c r="P769" s="80"/>
      <c r="Q769" s="5"/>
    </row>
    <row r="770" spans="12:17" x14ac:dyDescent="0.3">
      <c r="L770" s="5"/>
      <c r="M770" s="5"/>
      <c r="N770" s="5"/>
      <c r="O770" s="5"/>
      <c r="P770" s="80"/>
      <c r="Q770" s="5"/>
    </row>
    <row r="771" spans="12:17" x14ac:dyDescent="0.3">
      <c r="L771" s="5"/>
      <c r="M771" s="5"/>
      <c r="N771" s="5"/>
      <c r="O771" s="5"/>
      <c r="P771" s="80"/>
      <c r="Q771" s="5"/>
    </row>
    <row r="772" spans="12:17" x14ac:dyDescent="0.3">
      <c r="L772" s="5"/>
      <c r="M772" s="5"/>
      <c r="N772" s="5"/>
      <c r="O772" s="5"/>
      <c r="P772" s="80"/>
      <c r="Q772" s="5"/>
    </row>
    <row r="773" spans="12:17" x14ac:dyDescent="0.3">
      <c r="L773" s="5"/>
      <c r="M773" s="5"/>
      <c r="N773" s="5"/>
      <c r="O773" s="5"/>
      <c r="P773" s="80"/>
      <c r="Q773" s="5"/>
    </row>
    <row r="774" spans="12:17" x14ac:dyDescent="0.3">
      <c r="L774" s="5"/>
      <c r="M774" s="5"/>
      <c r="N774" s="5"/>
      <c r="O774" s="5"/>
      <c r="P774" s="80"/>
      <c r="Q774" s="5"/>
    </row>
    <row r="775" spans="12:17" x14ac:dyDescent="0.3">
      <c r="L775" s="5"/>
      <c r="M775" s="5"/>
      <c r="N775" s="5"/>
      <c r="O775" s="5"/>
      <c r="P775" s="80"/>
      <c r="Q775" s="5"/>
    </row>
    <row r="776" spans="12:17" x14ac:dyDescent="0.3">
      <c r="L776" s="5"/>
      <c r="M776" s="5"/>
      <c r="N776" s="5"/>
      <c r="O776" s="5"/>
      <c r="P776" s="80"/>
      <c r="Q776" s="5"/>
    </row>
    <row r="777" spans="12:17" x14ac:dyDescent="0.3">
      <c r="L777" s="5"/>
      <c r="M777" s="5"/>
      <c r="N777" s="5"/>
      <c r="O777" s="5"/>
      <c r="P777" s="80"/>
      <c r="Q777" s="5"/>
    </row>
    <row r="778" spans="12:17" x14ac:dyDescent="0.3">
      <c r="L778" s="5"/>
      <c r="M778" s="5"/>
      <c r="N778" s="5"/>
      <c r="O778" s="5"/>
      <c r="P778" s="80"/>
      <c r="Q778" s="5"/>
    </row>
    <row r="779" spans="12:17" x14ac:dyDescent="0.3">
      <c r="L779" s="5"/>
      <c r="M779" s="5"/>
      <c r="N779" s="5"/>
      <c r="O779" s="5"/>
      <c r="P779" s="80"/>
      <c r="Q779" s="5"/>
    </row>
    <row r="780" spans="12:17" x14ac:dyDescent="0.3">
      <c r="L780" s="5"/>
      <c r="M780" s="5"/>
      <c r="N780" s="5"/>
      <c r="O780" s="5"/>
      <c r="P780" s="80"/>
      <c r="Q780" s="5"/>
    </row>
    <row r="781" spans="12:17" x14ac:dyDescent="0.3">
      <c r="L781" s="5"/>
      <c r="M781" s="5"/>
      <c r="N781" s="5"/>
      <c r="O781" s="5"/>
      <c r="P781" s="80"/>
      <c r="Q781" s="5"/>
    </row>
    <row r="782" spans="12:17" x14ac:dyDescent="0.3">
      <c r="L782" s="5"/>
      <c r="M782" s="5"/>
      <c r="N782" s="5"/>
      <c r="O782" s="5"/>
      <c r="P782" s="80"/>
      <c r="Q782" s="5"/>
    </row>
    <row r="783" spans="12:17" x14ac:dyDescent="0.3">
      <c r="L783" s="5"/>
      <c r="M783" s="5"/>
      <c r="N783" s="5"/>
      <c r="O783" s="5"/>
      <c r="P783" s="80"/>
      <c r="Q783" s="5"/>
    </row>
    <row r="784" spans="12:17" x14ac:dyDescent="0.3">
      <c r="L784" s="5"/>
      <c r="M784" s="5"/>
      <c r="N784" s="5"/>
      <c r="O784" s="5"/>
      <c r="P784" s="80"/>
      <c r="Q784" s="5"/>
    </row>
    <row r="785" spans="12:17" x14ac:dyDescent="0.3">
      <c r="L785" s="5"/>
      <c r="M785" s="5"/>
      <c r="N785" s="5"/>
      <c r="O785" s="5"/>
      <c r="P785" s="80"/>
      <c r="Q785" s="5"/>
    </row>
    <row r="786" spans="12:17" x14ac:dyDescent="0.3">
      <c r="L786" s="5"/>
      <c r="M786" s="5"/>
      <c r="N786" s="5"/>
      <c r="O786" s="5"/>
      <c r="P786" s="80"/>
      <c r="Q786" s="5"/>
    </row>
    <row r="787" spans="12:17" x14ac:dyDescent="0.3">
      <c r="L787" s="5"/>
      <c r="M787" s="5"/>
      <c r="N787" s="5"/>
      <c r="O787" s="5"/>
      <c r="P787" s="80"/>
      <c r="Q787" s="5"/>
    </row>
    <row r="788" spans="12:17" x14ac:dyDescent="0.3">
      <c r="L788" s="5"/>
      <c r="M788" s="5"/>
      <c r="N788" s="5"/>
      <c r="O788" s="5"/>
      <c r="P788" s="80"/>
      <c r="Q788" s="5"/>
    </row>
    <row r="789" spans="12:17" x14ac:dyDescent="0.3">
      <c r="L789" s="5"/>
      <c r="M789" s="5"/>
      <c r="N789" s="5"/>
      <c r="O789" s="5"/>
      <c r="P789" s="80"/>
      <c r="Q789" s="5"/>
    </row>
    <row r="790" spans="12:17" x14ac:dyDescent="0.3">
      <c r="L790" s="5"/>
      <c r="M790" s="5"/>
      <c r="N790" s="5"/>
      <c r="O790" s="5"/>
      <c r="P790" s="80"/>
      <c r="Q790" s="5"/>
    </row>
    <row r="791" spans="12:17" x14ac:dyDescent="0.3">
      <c r="L791" s="5"/>
      <c r="M791" s="5"/>
      <c r="N791" s="5"/>
      <c r="O791" s="5"/>
      <c r="P791" s="80"/>
      <c r="Q791" s="5"/>
    </row>
    <row r="792" spans="12:17" x14ac:dyDescent="0.3">
      <c r="L792" s="5"/>
      <c r="M792" s="5"/>
      <c r="N792" s="5"/>
      <c r="O792" s="5"/>
      <c r="P792" s="80"/>
      <c r="Q792" s="5"/>
    </row>
    <row r="793" spans="12:17" x14ac:dyDescent="0.3">
      <c r="L793" s="5"/>
      <c r="M793" s="5"/>
      <c r="N793" s="5"/>
      <c r="O793" s="5"/>
      <c r="P793" s="80"/>
      <c r="Q793" s="5"/>
    </row>
    <row r="794" spans="12:17" x14ac:dyDescent="0.3">
      <c r="L794" s="5"/>
      <c r="M794" s="5"/>
      <c r="N794" s="5"/>
      <c r="O794" s="5"/>
      <c r="P794" s="80"/>
      <c r="Q794" s="5"/>
    </row>
    <row r="795" spans="12:17" x14ac:dyDescent="0.3">
      <c r="L795" s="5"/>
      <c r="M795" s="5"/>
      <c r="N795" s="5"/>
      <c r="O795" s="5"/>
      <c r="P795" s="80"/>
      <c r="Q795" s="5"/>
    </row>
    <row r="796" spans="12:17" x14ac:dyDescent="0.3">
      <c r="L796" s="5"/>
      <c r="M796" s="5"/>
      <c r="N796" s="5"/>
      <c r="O796" s="5"/>
      <c r="P796" s="80"/>
      <c r="Q796" s="5"/>
    </row>
    <row r="797" spans="12:17" x14ac:dyDescent="0.3">
      <c r="L797" s="5"/>
      <c r="M797" s="5"/>
      <c r="N797" s="5"/>
      <c r="O797" s="5"/>
      <c r="P797" s="80"/>
      <c r="Q797" s="5"/>
    </row>
    <row r="798" spans="12:17" x14ac:dyDescent="0.3">
      <c r="L798" s="5"/>
      <c r="M798" s="5"/>
      <c r="N798" s="5"/>
      <c r="O798" s="5"/>
      <c r="P798" s="80"/>
      <c r="Q798" s="5"/>
    </row>
    <row r="799" spans="12:17" x14ac:dyDescent="0.3">
      <c r="L799" s="5"/>
      <c r="M799" s="5"/>
      <c r="N799" s="5"/>
      <c r="O799" s="5"/>
      <c r="P799" s="80"/>
      <c r="Q799" s="5"/>
    </row>
    <row r="800" spans="12:17" x14ac:dyDescent="0.3">
      <c r="L800" s="5"/>
      <c r="M800" s="5"/>
      <c r="N800" s="5"/>
      <c r="O800" s="5"/>
      <c r="P800" s="80"/>
      <c r="Q800" s="5"/>
    </row>
    <row r="801" spans="12:17" x14ac:dyDescent="0.3">
      <c r="L801" s="5"/>
      <c r="M801" s="5"/>
      <c r="N801" s="5"/>
      <c r="O801" s="5"/>
      <c r="P801" s="80"/>
      <c r="Q801" s="5"/>
    </row>
    <row r="802" spans="12:17" x14ac:dyDescent="0.3">
      <c r="L802" s="5"/>
      <c r="M802" s="5"/>
      <c r="N802" s="5"/>
      <c r="O802" s="5"/>
      <c r="P802" s="80"/>
      <c r="Q802" s="5"/>
    </row>
    <row r="803" spans="12:17" x14ac:dyDescent="0.3">
      <c r="L803" s="5"/>
      <c r="M803" s="5"/>
      <c r="N803" s="5"/>
      <c r="O803" s="5"/>
      <c r="P803" s="80"/>
      <c r="Q803" s="5"/>
    </row>
    <row r="804" spans="12:17" x14ac:dyDescent="0.3">
      <c r="L804" s="5"/>
      <c r="M804" s="5"/>
      <c r="N804" s="5"/>
      <c r="O804" s="5"/>
      <c r="P804" s="80"/>
      <c r="Q804" s="5"/>
    </row>
    <row r="805" spans="12:17" x14ac:dyDescent="0.3">
      <c r="L805" s="5"/>
      <c r="M805" s="5"/>
      <c r="N805" s="5"/>
      <c r="O805" s="5"/>
      <c r="P805" s="80"/>
      <c r="Q805" s="5"/>
    </row>
    <row r="806" spans="12:17" x14ac:dyDescent="0.3">
      <c r="L806" s="5"/>
      <c r="M806" s="5"/>
      <c r="N806" s="5"/>
      <c r="O806" s="5"/>
      <c r="P806" s="80"/>
      <c r="Q806" s="5"/>
    </row>
    <row r="807" spans="12:17" x14ac:dyDescent="0.3">
      <c r="L807" s="5"/>
      <c r="M807" s="5"/>
      <c r="N807" s="5"/>
      <c r="O807" s="5"/>
      <c r="P807" s="80"/>
      <c r="Q807" s="5"/>
    </row>
    <row r="808" spans="12:17" x14ac:dyDescent="0.3">
      <c r="L808" s="5"/>
      <c r="M808" s="5"/>
      <c r="N808" s="5"/>
      <c r="O808" s="5"/>
      <c r="P808" s="80"/>
      <c r="Q808" s="5"/>
    </row>
    <row r="809" spans="12:17" x14ac:dyDescent="0.3">
      <c r="L809" s="5"/>
      <c r="M809" s="5"/>
      <c r="N809" s="5"/>
      <c r="O809" s="5"/>
      <c r="P809" s="80"/>
      <c r="Q809" s="5"/>
    </row>
    <row r="810" spans="12:17" x14ac:dyDescent="0.3">
      <c r="L810" s="5"/>
      <c r="M810" s="5"/>
      <c r="N810" s="5"/>
      <c r="O810" s="5"/>
      <c r="P810" s="80"/>
      <c r="Q810" s="5"/>
    </row>
    <row r="811" spans="12:17" x14ac:dyDescent="0.3">
      <c r="L811" s="5"/>
      <c r="M811" s="5"/>
      <c r="N811" s="5"/>
      <c r="O811" s="5"/>
      <c r="P811" s="80"/>
      <c r="Q811" s="5"/>
    </row>
    <row r="812" spans="12:17" x14ac:dyDescent="0.3">
      <c r="L812" s="5"/>
      <c r="M812" s="5"/>
      <c r="N812" s="5"/>
      <c r="O812" s="5"/>
      <c r="P812" s="80"/>
      <c r="Q812" s="5"/>
    </row>
    <row r="813" spans="12:17" x14ac:dyDescent="0.3">
      <c r="L813" s="5"/>
      <c r="M813" s="5"/>
      <c r="N813" s="5"/>
      <c r="O813" s="5"/>
      <c r="P813" s="80"/>
      <c r="Q813" s="5"/>
    </row>
    <row r="814" spans="12:17" x14ac:dyDescent="0.3">
      <c r="L814" s="5"/>
      <c r="M814" s="5"/>
      <c r="N814" s="5"/>
      <c r="O814" s="5"/>
      <c r="P814" s="80"/>
      <c r="Q814" s="5"/>
    </row>
    <row r="815" spans="12:17" x14ac:dyDescent="0.3">
      <c r="L815" s="5"/>
      <c r="M815" s="5"/>
      <c r="N815" s="5"/>
      <c r="O815" s="5"/>
      <c r="P815" s="80"/>
      <c r="Q815" s="5"/>
    </row>
    <row r="816" spans="12:17" x14ac:dyDescent="0.3">
      <c r="L816" s="5"/>
      <c r="M816" s="5"/>
      <c r="N816" s="5"/>
      <c r="O816" s="5"/>
      <c r="P816" s="80"/>
      <c r="Q816" s="5"/>
    </row>
    <row r="817" spans="12:17" x14ac:dyDescent="0.3">
      <c r="L817" s="5"/>
      <c r="M817" s="5"/>
      <c r="N817" s="5"/>
      <c r="O817" s="5"/>
      <c r="P817" s="80"/>
      <c r="Q817" s="5"/>
    </row>
    <row r="818" spans="12:17" x14ac:dyDescent="0.3">
      <c r="L818" s="5"/>
      <c r="M818" s="5"/>
      <c r="N818" s="5"/>
      <c r="O818" s="5"/>
      <c r="P818" s="80"/>
      <c r="Q818" s="5"/>
    </row>
    <row r="819" spans="12:17" x14ac:dyDescent="0.3">
      <c r="L819" s="5"/>
      <c r="M819" s="5"/>
      <c r="N819" s="5"/>
      <c r="O819" s="5"/>
      <c r="P819" s="80"/>
      <c r="Q819" s="5"/>
    </row>
    <row r="820" spans="12:17" x14ac:dyDescent="0.3">
      <c r="L820" s="5"/>
      <c r="M820" s="5"/>
      <c r="N820" s="5"/>
      <c r="O820" s="5"/>
      <c r="P820" s="80"/>
      <c r="Q820" s="5"/>
    </row>
    <row r="821" spans="12:17" x14ac:dyDescent="0.3">
      <c r="L821" s="5"/>
      <c r="M821" s="5"/>
      <c r="N821" s="5"/>
      <c r="O821" s="5"/>
      <c r="P821" s="80"/>
      <c r="Q821" s="5"/>
    </row>
    <row r="822" spans="12:17" x14ac:dyDescent="0.3">
      <c r="L822" s="5"/>
      <c r="M822" s="5"/>
      <c r="N822" s="5"/>
      <c r="O822" s="5"/>
      <c r="P822" s="80"/>
      <c r="Q822" s="5"/>
    </row>
    <row r="823" spans="12:17" x14ac:dyDescent="0.3">
      <c r="L823" s="5"/>
      <c r="M823" s="5"/>
      <c r="N823" s="5"/>
      <c r="O823" s="5"/>
      <c r="P823" s="80"/>
      <c r="Q823" s="5"/>
    </row>
    <row r="824" spans="12:17" x14ac:dyDescent="0.3">
      <c r="L824" s="5"/>
      <c r="M824" s="5"/>
      <c r="N824" s="5"/>
      <c r="O824" s="5"/>
      <c r="P824" s="80"/>
      <c r="Q824" s="5"/>
    </row>
    <row r="825" spans="12:17" x14ac:dyDescent="0.3">
      <c r="L825" s="5"/>
      <c r="M825" s="5"/>
      <c r="N825" s="5"/>
      <c r="O825" s="5"/>
      <c r="P825" s="80"/>
      <c r="Q825" s="5"/>
    </row>
    <row r="826" spans="12:17" x14ac:dyDescent="0.3">
      <c r="L826" s="5"/>
      <c r="M826" s="5"/>
      <c r="N826" s="5"/>
      <c r="O826" s="5"/>
      <c r="P826" s="80"/>
      <c r="Q826" s="5"/>
    </row>
    <row r="827" spans="12:17" x14ac:dyDescent="0.3">
      <c r="L827" s="5"/>
      <c r="M827" s="5"/>
      <c r="N827" s="5"/>
      <c r="O827" s="5"/>
      <c r="P827" s="80"/>
      <c r="Q827" s="5"/>
    </row>
    <row r="828" spans="12:17" x14ac:dyDescent="0.3">
      <c r="L828" s="5"/>
      <c r="M828" s="5"/>
      <c r="N828" s="5"/>
      <c r="O828" s="5"/>
      <c r="P828" s="80"/>
      <c r="Q828" s="5"/>
    </row>
    <row r="829" spans="12:17" x14ac:dyDescent="0.3">
      <c r="L829" s="5"/>
      <c r="M829" s="5"/>
      <c r="N829" s="5"/>
      <c r="O829" s="5"/>
      <c r="P829" s="80"/>
      <c r="Q829" s="5"/>
    </row>
    <row r="830" spans="12:17" x14ac:dyDescent="0.3">
      <c r="L830" s="5"/>
      <c r="M830" s="5"/>
      <c r="N830" s="5"/>
      <c r="O830" s="5"/>
      <c r="P830" s="80"/>
      <c r="Q830" s="5"/>
    </row>
    <row r="831" spans="12:17" x14ac:dyDescent="0.3">
      <c r="L831" s="5"/>
      <c r="M831" s="5"/>
      <c r="N831" s="5"/>
      <c r="O831" s="5"/>
      <c r="P831" s="80"/>
      <c r="Q831" s="5"/>
    </row>
    <row r="832" spans="12:17" x14ac:dyDescent="0.3">
      <c r="L832" s="5"/>
      <c r="M832" s="5"/>
      <c r="N832" s="5"/>
      <c r="O832" s="5"/>
      <c r="P832" s="80"/>
      <c r="Q832" s="5"/>
    </row>
    <row r="833" spans="12:17" x14ac:dyDescent="0.3">
      <c r="L833" s="5"/>
      <c r="M833" s="5"/>
      <c r="N833" s="5"/>
      <c r="O833" s="5"/>
      <c r="P833" s="80"/>
      <c r="Q833" s="5"/>
    </row>
    <row r="834" spans="12:17" x14ac:dyDescent="0.3">
      <c r="L834" s="5"/>
      <c r="M834" s="5"/>
      <c r="N834" s="5"/>
      <c r="O834" s="5"/>
      <c r="P834" s="80"/>
      <c r="Q834" s="5"/>
    </row>
    <row r="835" spans="12:17" x14ac:dyDescent="0.3">
      <c r="L835" s="5"/>
      <c r="M835" s="5"/>
      <c r="N835" s="5"/>
      <c r="O835" s="5"/>
      <c r="P835" s="80"/>
      <c r="Q835" s="5"/>
    </row>
    <row r="836" spans="12:17" x14ac:dyDescent="0.3">
      <c r="L836" s="5"/>
      <c r="M836" s="5"/>
      <c r="N836" s="5"/>
      <c r="O836" s="5"/>
      <c r="P836" s="80"/>
      <c r="Q836" s="5"/>
    </row>
    <row r="837" spans="12:17" x14ac:dyDescent="0.3">
      <c r="L837" s="5"/>
      <c r="M837" s="5"/>
      <c r="N837" s="5"/>
      <c r="O837" s="5"/>
      <c r="P837" s="80"/>
      <c r="Q837" s="5"/>
    </row>
    <row r="838" spans="12:17" x14ac:dyDescent="0.3">
      <c r="L838" s="5"/>
      <c r="M838" s="5"/>
      <c r="N838" s="5"/>
      <c r="O838" s="5"/>
      <c r="P838" s="80"/>
      <c r="Q838" s="5"/>
    </row>
    <row r="839" spans="12:17" x14ac:dyDescent="0.3">
      <c r="L839" s="5"/>
      <c r="M839" s="5"/>
      <c r="N839" s="5"/>
      <c r="O839" s="5"/>
      <c r="P839" s="80"/>
      <c r="Q839" s="5"/>
    </row>
    <row r="840" spans="12:17" x14ac:dyDescent="0.3">
      <c r="L840" s="5"/>
      <c r="M840" s="5"/>
      <c r="N840" s="5"/>
      <c r="O840" s="5"/>
      <c r="P840" s="80"/>
      <c r="Q840" s="5"/>
    </row>
    <row r="841" spans="12:17" x14ac:dyDescent="0.3">
      <c r="L841" s="5"/>
      <c r="M841" s="5"/>
      <c r="N841" s="5"/>
      <c r="O841" s="5"/>
      <c r="P841" s="80"/>
      <c r="Q841" s="5"/>
    </row>
    <row r="842" spans="12:17" x14ac:dyDescent="0.3">
      <c r="L842" s="5"/>
      <c r="M842" s="5"/>
      <c r="N842" s="5"/>
      <c r="O842" s="5"/>
      <c r="P842" s="80"/>
      <c r="Q842" s="5"/>
    </row>
    <row r="843" spans="12:17" x14ac:dyDescent="0.3">
      <c r="L843" s="5"/>
      <c r="M843" s="5"/>
      <c r="N843" s="5"/>
      <c r="O843" s="5"/>
      <c r="P843" s="80"/>
      <c r="Q843" s="5"/>
    </row>
    <row r="844" spans="12:17" x14ac:dyDescent="0.3">
      <c r="L844" s="5"/>
      <c r="M844" s="5"/>
      <c r="N844" s="5"/>
      <c r="O844" s="5"/>
      <c r="P844" s="80"/>
      <c r="Q844" s="5"/>
    </row>
    <row r="845" spans="12:17" x14ac:dyDescent="0.3">
      <c r="L845" s="5"/>
      <c r="M845" s="5"/>
      <c r="N845" s="5"/>
      <c r="O845" s="5"/>
      <c r="P845" s="80"/>
      <c r="Q845" s="5"/>
    </row>
    <row r="846" spans="12:17" x14ac:dyDescent="0.3">
      <c r="L846" s="5"/>
      <c r="M846" s="5"/>
      <c r="N846" s="5"/>
      <c r="O846" s="5"/>
      <c r="P846" s="80"/>
      <c r="Q846" s="5"/>
    </row>
    <row r="847" spans="12:17" x14ac:dyDescent="0.3">
      <c r="L847" s="5"/>
      <c r="M847" s="5"/>
      <c r="N847" s="5"/>
      <c r="O847" s="5"/>
      <c r="P847" s="80"/>
      <c r="Q847" s="5"/>
    </row>
    <row r="848" spans="12:17" x14ac:dyDescent="0.3">
      <c r="L848" s="5"/>
      <c r="M848" s="5"/>
      <c r="N848" s="5"/>
      <c r="O848" s="5"/>
      <c r="P848" s="80"/>
      <c r="Q848" s="5"/>
    </row>
    <row r="849" spans="12:17" x14ac:dyDescent="0.3">
      <c r="L849" s="5"/>
      <c r="M849" s="5"/>
      <c r="N849" s="5"/>
      <c r="O849" s="5"/>
      <c r="P849" s="80"/>
      <c r="Q849" s="5"/>
    </row>
    <row r="850" spans="12:17" x14ac:dyDescent="0.3">
      <c r="L850" s="5"/>
      <c r="M850" s="5"/>
      <c r="N850" s="5"/>
      <c r="O850" s="5"/>
      <c r="P850" s="80"/>
      <c r="Q850" s="5"/>
    </row>
    <row r="851" spans="12:17" x14ac:dyDescent="0.3">
      <c r="L851" s="5"/>
      <c r="M851" s="5"/>
      <c r="N851" s="5"/>
      <c r="O851" s="5"/>
      <c r="P851" s="80"/>
      <c r="Q851" s="5"/>
    </row>
    <row r="852" spans="12:17" x14ac:dyDescent="0.3">
      <c r="L852" s="5"/>
      <c r="M852" s="5"/>
      <c r="N852" s="5"/>
      <c r="O852" s="5"/>
      <c r="P852" s="80"/>
      <c r="Q852" s="5"/>
    </row>
    <row r="853" spans="12:17" x14ac:dyDescent="0.3">
      <c r="L853" s="5"/>
      <c r="M853" s="5"/>
      <c r="N853" s="5"/>
      <c r="O853" s="5"/>
      <c r="P853" s="80"/>
      <c r="Q853" s="5"/>
    </row>
    <row r="854" spans="12:17" x14ac:dyDescent="0.3">
      <c r="L854" s="5"/>
      <c r="M854" s="5"/>
      <c r="N854" s="5"/>
      <c r="O854" s="5"/>
      <c r="P854" s="80"/>
      <c r="Q854" s="5"/>
    </row>
    <row r="855" spans="12:17" x14ac:dyDescent="0.3">
      <c r="L855" s="5"/>
      <c r="M855" s="5"/>
      <c r="N855" s="5"/>
      <c r="O855" s="5"/>
      <c r="P855" s="80"/>
      <c r="Q855" s="5"/>
    </row>
    <row r="856" spans="12:17" x14ac:dyDescent="0.3">
      <c r="L856" s="5"/>
      <c r="M856" s="5"/>
      <c r="N856" s="5"/>
      <c r="O856" s="5"/>
      <c r="P856" s="80"/>
      <c r="Q856" s="5"/>
    </row>
    <row r="857" spans="12:17" x14ac:dyDescent="0.3">
      <c r="L857" s="5"/>
      <c r="M857" s="5"/>
      <c r="N857" s="5"/>
      <c r="O857" s="5"/>
      <c r="P857" s="80"/>
      <c r="Q857" s="5"/>
    </row>
    <row r="858" spans="12:17" x14ac:dyDescent="0.3">
      <c r="L858" s="5"/>
      <c r="M858" s="5"/>
      <c r="N858" s="5"/>
      <c r="O858" s="5"/>
      <c r="P858" s="80"/>
      <c r="Q858" s="5"/>
    </row>
    <row r="859" spans="12:17" x14ac:dyDescent="0.3">
      <c r="L859" s="5"/>
      <c r="M859" s="5"/>
      <c r="N859" s="5"/>
      <c r="O859" s="5"/>
      <c r="P859" s="80"/>
      <c r="Q859" s="5"/>
    </row>
    <row r="860" spans="12:17" x14ac:dyDescent="0.3">
      <c r="L860" s="5"/>
      <c r="M860" s="5"/>
      <c r="N860" s="5"/>
      <c r="O860" s="5"/>
      <c r="P860" s="80"/>
      <c r="Q860" s="5"/>
    </row>
    <row r="861" spans="12:17" x14ac:dyDescent="0.3">
      <c r="L861" s="5"/>
      <c r="M861" s="5"/>
      <c r="N861" s="5"/>
      <c r="O861" s="5"/>
      <c r="P861" s="80"/>
      <c r="Q861" s="5"/>
    </row>
    <row r="862" spans="12:17" x14ac:dyDescent="0.3">
      <c r="L862" s="5"/>
      <c r="M862" s="5"/>
      <c r="N862" s="5"/>
      <c r="O862" s="5"/>
      <c r="P862" s="80"/>
      <c r="Q862" s="5"/>
    </row>
    <row r="863" spans="12:17" x14ac:dyDescent="0.3">
      <c r="L863" s="5"/>
      <c r="M863" s="5"/>
      <c r="N863" s="5"/>
      <c r="O863" s="5"/>
      <c r="P863" s="80"/>
      <c r="Q863" s="5"/>
    </row>
    <row r="864" spans="12:17" x14ac:dyDescent="0.3">
      <c r="L864" s="5"/>
      <c r="M864" s="5"/>
      <c r="N864" s="5"/>
      <c r="O864" s="5"/>
      <c r="P864" s="80"/>
      <c r="Q864" s="5"/>
    </row>
    <row r="865" spans="12:17" x14ac:dyDescent="0.3">
      <c r="L865" s="5"/>
      <c r="M865" s="5"/>
      <c r="N865" s="5"/>
      <c r="O865" s="5"/>
      <c r="P865" s="80"/>
      <c r="Q865" s="5"/>
    </row>
    <row r="866" spans="12:17" x14ac:dyDescent="0.3">
      <c r="L866" s="5"/>
      <c r="M866" s="5"/>
      <c r="N866" s="5"/>
      <c r="O866" s="5"/>
      <c r="P866" s="80"/>
      <c r="Q866" s="5"/>
    </row>
    <row r="867" spans="12:17" x14ac:dyDescent="0.3">
      <c r="L867" s="5"/>
      <c r="M867" s="5"/>
      <c r="N867" s="5"/>
      <c r="O867" s="5"/>
      <c r="P867" s="80"/>
      <c r="Q867" s="5"/>
    </row>
    <row r="868" spans="12:17" x14ac:dyDescent="0.3">
      <c r="L868" s="5"/>
      <c r="M868" s="5"/>
      <c r="N868" s="5"/>
      <c r="O868" s="5"/>
      <c r="P868" s="80"/>
      <c r="Q868" s="5"/>
    </row>
    <row r="869" spans="12:17" x14ac:dyDescent="0.3">
      <c r="L869" s="5"/>
      <c r="M869" s="5"/>
      <c r="N869" s="5"/>
      <c r="O869" s="5"/>
      <c r="P869" s="80"/>
      <c r="Q869" s="5"/>
    </row>
    <row r="870" spans="12:17" x14ac:dyDescent="0.3">
      <c r="L870" s="5"/>
      <c r="M870" s="5"/>
      <c r="N870" s="5"/>
      <c r="O870" s="5"/>
      <c r="P870" s="80"/>
      <c r="Q870" s="5"/>
    </row>
    <row r="871" spans="12:17" x14ac:dyDescent="0.3">
      <c r="L871" s="5"/>
      <c r="M871" s="5"/>
      <c r="N871" s="5"/>
      <c r="O871" s="5"/>
      <c r="P871" s="80"/>
      <c r="Q871" s="5"/>
    </row>
    <row r="872" spans="12:17" x14ac:dyDescent="0.3">
      <c r="L872" s="5"/>
      <c r="M872" s="5"/>
      <c r="N872" s="5"/>
      <c r="O872" s="5"/>
      <c r="P872" s="80"/>
      <c r="Q872" s="5"/>
    </row>
    <row r="873" spans="12:17" x14ac:dyDescent="0.3">
      <c r="L873" s="5"/>
      <c r="M873" s="5"/>
      <c r="N873" s="5"/>
      <c r="O873" s="5"/>
      <c r="P873" s="80"/>
      <c r="Q873" s="5"/>
    </row>
    <row r="874" spans="12:17" x14ac:dyDescent="0.3">
      <c r="L874" s="5"/>
      <c r="M874" s="5"/>
      <c r="N874" s="5"/>
      <c r="O874" s="5"/>
      <c r="P874" s="80"/>
      <c r="Q874" s="5"/>
    </row>
    <row r="875" spans="12:17" x14ac:dyDescent="0.3">
      <c r="L875" s="5"/>
      <c r="M875" s="5"/>
      <c r="N875" s="5"/>
      <c r="O875" s="5"/>
      <c r="P875" s="80"/>
      <c r="Q875" s="5"/>
    </row>
    <row r="876" spans="12:17" x14ac:dyDescent="0.3">
      <c r="L876" s="5"/>
      <c r="M876" s="5"/>
      <c r="N876" s="5"/>
      <c r="O876" s="5"/>
      <c r="P876" s="80"/>
      <c r="Q876" s="5"/>
    </row>
    <row r="877" spans="12:17" x14ac:dyDescent="0.3">
      <c r="L877" s="5"/>
      <c r="M877" s="5"/>
      <c r="N877" s="5"/>
      <c r="O877" s="5"/>
      <c r="P877" s="80"/>
      <c r="Q877" s="5"/>
    </row>
    <row r="878" spans="12:17" x14ac:dyDescent="0.3">
      <c r="L878" s="5"/>
      <c r="M878" s="5"/>
      <c r="N878" s="5"/>
      <c r="O878" s="5"/>
      <c r="P878" s="80"/>
      <c r="Q878" s="5"/>
    </row>
    <row r="879" spans="12:17" x14ac:dyDescent="0.3">
      <c r="L879" s="5"/>
      <c r="M879" s="5"/>
      <c r="N879" s="5"/>
      <c r="O879" s="5"/>
      <c r="P879" s="80"/>
      <c r="Q879" s="5"/>
    </row>
    <row r="880" spans="12:17" x14ac:dyDescent="0.3">
      <c r="L880" s="5"/>
      <c r="M880" s="5"/>
      <c r="N880" s="5"/>
      <c r="O880" s="5"/>
      <c r="P880" s="80"/>
      <c r="Q880" s="5"/>
    </row>
    <row r="881" spans="12:17" x14ac:dyDescent="0.3">
      <c r="L881" s="5"/>
      <c r="M881" s="5"/>
      <c r="N881" s="5"/>
      <c r="O881" s="5"/>
      <c r="P881" s="80"/>
      <c r="Q881" s="5"/>
    </row>
    <row r="882" spans="12:17" x14ac:dyDescent="0.3">
      <c r="L882" s="5"/>
      <c r="M882" s="5"/>
      <c r="N882" s="5"/>
      <c r="O882" s="5"/>
      <c r="P882" s="80"/>
      <c r="Q882" s="5"/>
    </row>
    <row r="883" spans="12:17" x14ac:dyDescent="0.3">
      <c r="L883" s="5"/>
      <c r="M883" s="5"/>
      <c r="N883" s="5"/>
      <c r="O883" s="5"/>
      <c r="P883" s="80"/>
      <c r="Q883" s="5"/>
    </row>
    <row r="884" spans="12:17" x14ac:dyDescent="0.3">
      <c r="L884" s="5"/>
      <c r="M884" s="5"/>
      <c r="N884" s="5"/>
      <c r="O884" s="5"/>
      <c r="P884" s="80"/>
      <c r="Q884" s="5"/>
    </row>
    <row r="885" spans="12:17" x14ac:dyDescent="0.3">
      <c r="L885" s="5"/>
      <c r="M885" s="5"/>
      <c r="N885" s="5"/>
      <c r="O885" s="5"/>
      <c r="P885" s="80"/>
      <c r="Q885" s="5"/>
    </row>
    <row r="886" spans="12:17" x14ac:dyDescent="0.3">
      <c r="L886" s="5"/>
      <c r="M886" s="5"/>
      <c r="N886" s="5"/>
      <c r="O886" s="5"/>
      <c r="P886" s="80"/>
      <c r="Q886" s="5"/>
    </row>
    <row r="887" spans="12:17" x14ac:dyDescent="0.3">
      <c r="L887" s="5"/>
      <c r="M887" s="5"/>
      <c r="N887" s="5"/>
      <c r="O887" s="5"/>
      <c r="P887" s="80"/>
      <c r="Q887" s="5"/>
    </row>
    <row r="888" spans="12:17" x14ac:dyDescent="0.3">
      <c r="L888" s="5"/>
      <c r="M888" s="5"/>
      <c r="N888" s="5"/>
      <c r="O888" s="5"/>
      <c r="P888" s="80"/>
      <c r="Q888" s="5"/>
    </row>
    <row r="889" spans="12:17" x14ac:dyDescent="0.3">
      <c r="L889" s="5"/>
      <c r="M889" s="5"/>
      <c r="N889" s="5"/>
      <c r="O889" s="5"/>
      <c r="P889" s="80"/>
      <c r="Q889" s="5"/>
    </row>
    <row r="890" spans="12:17" x14ac:dyDescent="0.3">
      <c r="L890" s="5"/>
      <c r="M890" s="5"/>
      <c r="N890" s="5"/>
      <c r="O890" s="5"/>
      <c r="P890" s="80"/>
      <c r="Q890" s="5"/>
    </row>
    <row r="891" spans="12:17" x14ac:dyDescent="0.3">
      <c r="L891" s="5"/>
      <c r="M891" s="5"/>
      <c r="N891" s="5"/>
      <c r="O891" s="5"/>
      <c r="P891" s="80"/>
      <c r="Q891" s="5"/>
    </row>
    <row r="892" spans="12:17" x14ac:dyDescent="0.3">
      <c r="L892" s="5"/>
      <c r="M892" s="5"/>
      <c r="N892" s="5"/>
      <c r="O892" s="5"/>
      <c r="P892" s="80"/>
      <c r="Q892" s="5"/>
    </row>
    <row r="893" spans="12:17" x14ac:dyDescent="0.3">
      <c r="L893" s="5"/>
      <c r="M893" s="5"/>
      <c r="N893" s="5"/>
      <c r="O893" s="5"/>
      <c r="P893" s="80"/>
      <c r="Q893" s="5"/>
    </row>
    <row r="894" spans="12:17" x14ac:dyDescent="0.3">
      <c r="L894" s="5"/>
      <c r="M894" s="5"/>
      <c r="N894" s="5"/>
      <c r="O894" s="5"/>
      <c r="P894" s="80"/>
      <c r="Q894" s="5"/>
    </row>
    <row r="895" spans="12:17" x14ac:dyDescent="0.3">
      <c r="L895" s="5"/>
      <c r="M895" s="5"/>
      <c r="N895" s="5"/>
      <c r="O895" s="5"/>
      <c r="P895" s="80"/>
      <c r="Q895" s="5"/>
    </row>
    <row r="896" spans="12:17" x14ac:dyDescent="0.3">
      <c r="L896" s="5"/>
      <c r="M896" s="5"/>
      <c r="N896" s="5"/>
      <c r="O896" s="5"/>
      <c r="P896" s="80"/>
      <c r="Q896" s="5"/>
    </row>
    <row r="897" spans="12:17" x14ac:dyDescent="0.3">
      <c r="L897" s="5"/>
      <c r="M897" s="5"/>
      <c r="N897" s="5"/>
      <c r="O897" s="5"/>
      <c r="P897" s="80"/>
      <c r="Q897" s="5"/>
    </row>
    <row r="898" spans="12:17" x14ac:dyDescent="0.3">
      <c r="L898" s="5"/>
      <c r="M898" s="5"/>
      <c r="N898" s="5"/>
      <c r="O898" s="5"/>
      <c r="P898" s="80"/>
      <c r="Q898" s="5"/>
    </row>
    <row r="899" spans="12:17" x14ac:dyDescent="0.3">
      <c r="L899" s="5"/>
      <c r="M899" s="5"/>
      <c r="N899" s="5"/>
      <c r="O899" s="5"/>
      <c r="P899" s="80"/>
      <c r="Q899" s="5"/>
    </row>
    <row r="900" spans="12:17" x14ac:dyDescent="0.3">
      <c r="L900" s="5"/>
      <c r="M900" s="5"/>
      <c r="N900" s="5"/>
      <c r="O900" s="5"/>
      <c r="P900" s="80"/>
      <c r="Q900" s="5"/>
    </row>
    <row r="901" spans="12:17" x14ac:dyDescent="0.3">
      <c r="L901" s="5"/>
      <c r="M901" s="5"/>
      <c r="N901" s="5"/>
      <c r="O901" s="5"/>
      <c r="P901" s="80"/>
      <c r="Q901" s="5"/>
    </row>
    <row r="902" spans="12:17" x14ac:dyDescent="0.3">
      <c r="L902" s="5"/>
      <c r="M902" s="5"/>
      <c r="N902" s="5"/>
      <c r="O902" s="5"/>
      <c r="P902" s="80"/>
      <c r="Q902" s="5"/>
    </row>
    <row r="903" spans="12:17" x14ac:dyDescent="0.3">
      <c r="L903" s="5"/>
      <c r="M903" s="5"/>
      <c r="N903" s="5"/>
      <c r="O903" s="5"/>
      <c r="P903" s="80"/>
      <c r="Q903" s="5"/>
    </row>
    <row r="904" spans="12:17" x14ac:dyDescent="0.3">
      <c r="L904" s="5"/>
      <c r="M904" s="5"/>
      <c r="N904" s="5"/>
      <c r="O904" s="5"/>
      <c r="P904" s="80"/>
      <c r="Q904" s="5"/>
    </row>
    <row r="905" spans="12:17" x14ac:dyDescent="0.3">
      <c r="L905" s="5"/>
      <c r="M905" s="5"/>
      <c r="N905" s="5"/>
      <c r="O905" s="5"/>
      <c r="P905" s="80"/>
      <c r="Q905" s="5"/>
    </row>
    <row r="906" spans="12:17" x14ac:dyDescent="0.3">
      <c r="L906" s="5"/>
      <c r="M906" s="5"/>
      <c r="N906" s="5"/>
      <c r="O906" s="5"/>
      <c r="P906" s="80"/>
      <c r="Q906" s="5"/>
    </row>
    <row r="907" spans="12:17" x14ac:dyDescent="0.3">
      <c r="L907" s="5"/>
      <c r="M907" s="5"/>
      <c r="N907" s="5"/>
      <c r="O907" s="5"/>
      <c r="P907" s="80"/>
      <c r="Q907" s="5"/>
    </row>
    <row r="908" spans="12:17" x14ac:dyDescent="0.3">
      <c r="L908" s="5"/>
      <c r="M908" s="5"/>
      <c r="N908" s="5"/>
      <c r="O908" s="5"/>
      <c r="P908" s="80"/>
      <c r="Q908" s="5"/>
    </row>
    <row r="909" spans="12:17" x14ac:dyDescent="0.3">
      <c r="L909" s="5"/>
      <c r="M909" s="5"/>
      <c r="N909" s="5"/>
      <c r="O909" s="5"/>
      <c r="P909" s="80"/>
      <c r="Q909" s="5"/>
    </row>
    <row r="910" spans="12:17" x14ac:dyDescent="0.3">
      <c r="L910" s="5"/>
      <c r="M910" s="5"/>
      <c r="N910" s="5"/>
      <c r="O910" s="5"/>
      <c r="P910" s="80"/>
      <c r="Q910" s="5"/>
    </row>
    <row r="911" spans="12:17" x14ac:dyDescent="0.3">
      <c r="L911" s="5"/>
      <c r="M911" s="5"/>
      <c r="N911" s="5"/>
      <c r="O911" s="5"/>
      <c r="P911" s="80"/>
      <c r="Q911" s="5"/>
    </row>
    <row r="912" spans="12:17" x14ac:dyDescent="0.3">
      <c r="L912" s="5"/>
      <c r="M912" s="5"/>
      <c r="N912" s="5"/>
      <c r="O912" s="5"/>
      <c r="P912" s="80"/>
      <c r="Q912" s="5"/>
    </row>
    <row r="913" spans="12:17" x14ac:dyDescent="0.3">
      <c r="L913" s="5"/>
      <c r="M913" s="5"/>
      <c r="N913" s="5"/>
      <c r="O913" s="5"/>
      <c r="P913" s="80"/>
      <c r="Q913" s="5"/>
    </row>
    <row r="914" spans="12:17" x14ac:dyDescent="0.3">
      <c r="L914" s="5"/>
      <c r="M914" s="5"/>
      <c r="N914" s="5"/>
      <c r="O914" s="5"/>
      <c r="P914" s="80"/>
      <c r="Q914" s="5"/>
    </row>
    <row r="915" spans="12:17" x14ac:dyDescent="0.3">
      <c r="L915" s="5"/>
      <c r="M915" s="5"/>
      <c r="N915" s="5"/>
      <c r="O915" s="5"/>
      <c r="P915" s="80"/>
      <c r="Q915" s="5"/>
    </row>
    <row r="916" spans="12:17" x14ac:dyDescent="0.3">
      <c r="L916" s="5"/>
      <c r="M916" s="5"/>
      <c r="N916" s="5"/>
      <c r="O916" s="5"/>
      <c r="P916" s="80"/>
      <c r="Q916" s="5"/>
    </row>
    <row r="917" spans="12:17" x14ac:dyDescent="0.3">
      <c r="L917" s="5"/>
      <c r="M917" s="5"/>
      <c r="N917" s="5"/>
      <c r="O917" s="5"/>
      <c r="P917" s="80"/>
      <c r="Q917" s="5"/>
    </row>
    <row r="918" spans="12:17" x14ac:dyDescent="0.3">
      <c r="L918" s="5"/>
      <c r="M918" s="5"/>
      <c r="N918" s="5"/>
      <c r="O918" s="5"/>
      <c r="P918" s="80"/>
      <c r="Q918" s="5"/>
    </row>
    <row r="919" spans="12:17" x14ac:dyDescent="0.3">
      <c r="L919" s="5"/>
      <c r="M919" s="5"/>
      <c r="N919" s="5"/>
      <c r="O919" s="5"/>
      <c r="P919" s="80"/>
      <c r="Q919" s="5"/>
    </row>
    <row r="920" spans="12:17" x14ac:dyDescent="0.3">
      <c r="L920" s="5"/>
      <c r="M920" s="5"/>
      <c r="N920" s="5"/>
      <c r="O920" s="5"/>
      <c r="P920" s="80"/>
      <c r="Q920" s="5"/>
    </row>
    <row r="921" spans="12:17" x14ac:dyDescent="0.3">
      <c r="L921" s="5"/>
      <c r="M921" s="5"/>
      <c r="N921" s="5"/>
      <c r="O921" s="5"/>
      <c r="P921" s="80"/>
      <c r="Q921" s="5"/>
    </row>
    <row r="922" spans="12:17" x14ac:dyDescent="0.3">
      <c r="L922" s="5"/>
      <c r="M922" s="5"/>
      <c r="N922" s="5"/>
      <c r="O922" s="5"/>
      <c r="P922" s="80"/>
      <c r="Q922" s="5"/>
    </row>
    <row r="923" spans="12:17" x14ac:dyDescent="0.3">
      <c r="L923" s="5"/>
      <c r="M923" s="5"/>
      <c r="N923" s="5"/>
      <c r="O923" s="5"/>
      <c r="P923" s="80"/>
      <c r="Q923" s="5"/>
    </row>
    <row r="924" spans="12:17" x14ac:dyDescent="0.3">
      <c r="L924" s="5"/>
      <c r="M924" s="5"/>
      <c r="N924" s="5"/>
      <c r="O924" s="5"/>
      <c r="P924" s="80"/>
      <c r="Q924" s="5"/>
    </row>
    <row r="925" spans="12:17" x14ac:dyDescent="0.3">
      <c r="L925" s="5"/>
      <c r="M925" s="5"/>
      <c r="N925" s="5"/>
      <c r="O925" s="5"/>
      <c r="P925" s="80"/>
      <c r="Q925" s="5"/>
    </row>
    <row r="926" spans="12:17" x14ac:dyDescent="0.3">
      <c r="L926" s="5"/>
      <c r="M926" s="5"/>
      <c r="N926" s="5"/>
      <c r="O926" s="5"/>
      <c r="P926" s="80"/>
      <c r="Q926" s="5"/>
    </row>
    <row r="927" spans="12:17" x14ac:dyDescent="0.3">
      <c r="L927" s="5"/>
      <c r="M927" s="5"/>
      <c r="N927" s="5"/>
      <c r="O927" s="5"/>
      <c r="P927" s="80"/>
      <c r="Q927" s="5"/>
    </row>
    <row r="928" spans="12:17" x14ac:dyDescent="0.3">
      <c r="L928" s="5"/>
      <c r="M928" s="5"/>
      <c r="N928" s="5"/>
      <c r="O928" s="5"/>
      <c r="P928" s="80"/>
      <c r="Q928" s="5"/>
    </row>
    <row r="929" spans="12:17" x14ac:dyDescent="0.3">
      <c r="L929" s="5"/>
      <c r="M929" s="5"/>
      <c r="N929" s="5"/>
      <c r="O929" s="5"/>
      <c r="P929" s="80"/>
      <c r="Q929" s="5"/>
    </row>
    <row r="930" spans="12:17" x14ac:dyDescent="0.3">
      <c r="L930" s="5"/>
      <c r="M930" s="5"/>
      <c r="N930" s="5"/>
      <c r="O930" s="5"/>
      <c r="P930" s="80"/>
      <c r="Q930" s="5"/>
    </row>
    <row r="931" spans="12:17" x14ac:dyDescent="0.3">
      <c r="L931" s="5"/>
      <c r="M931" s="5"/>
      <c r="N931" s="5"/>
      <c r="O931" s="5"/>
      <c r="P931" s="80"/>
      <c r="Q931" s="5"/>
    </row>
    <row r="932" spans="12:17" x14ac:dyDescent="0.3">
      <c r="L932" s="5"/>
      <c r="M932" s="5"/>
      <c r="N932" s="5"/>
      <c r="O932" s="5"/>
      <c r="P932" s="80"/>
      <c r="Q932" s="5"/>
    </row>
    <row r="933" spans="12:17" x14ac:dyDescent="0.3">
      <c r="L933" s="5"/>
      <c r="M933" s="5"/>
      <c r="N933" s="5"/>
      <c r="O933" s="5"/>
      <c r="P933" s="80"/>
      <c r="Q933" s="5"/>
    </row>
    <row r="934" spans="12:17" x14ac:dyDescent="0.3">
      <c r="L934" s="5"/>
      <c r="M934" s="5"/>
      <c r="N934" s="5"/>
      <c r="O934" s="5"/>
      <c r="P934" s="80"/>
      <c r="Q934" s="5"/>
    </row>
    <row r="935" spans="12:17" x14ac:dyDescent="0.3">
      <c r="L935" s="5"/>
      <c r="M935" s="5"/>
      <c r="N935" s="5"/>
      <c r="O935" s="5"/>
      <c r="P935" s="80"/>
      <c r="Q935" s="5"/>
    </row>
    <row r="936" spans="12:17" x14ac:dyDescent="0.3">
      <c r="L936" s="5"/>
      <c r="M936" s="5"/>
      <c r="N936" s="5"/>
      <c r="O936" s="5"/>
      <c r="P936" s="80"/>
      <c r="Q936" s="5"/>
    </row>
    <row r="937" spans="12:17" x14ac:dyDescent="0.3">
      <c r="L937" s="5"/>
      <c r="M937" s="5"/>
      <c r="N937" s="5"/>
      <c r="O937" s="5"/>
      <c r="P937" s="80"/>
      <c r="Q937" s="5"/>
    </row>
    <row r="938" spans="12:17" x14ac:dyDescent="0.3">
      <c r="L938" s="5"/>
      <c r="M938" s="5"/>
      <c r="N938" s="5"/>
      <c r="O938" s="5"/>
      <c r="P938" s="80"/>
      <c r="Q938" s="5"/>
    </row>
    <row r="939" spans="12:17" x14ac:dyDescent="0.3">
      <c r="L939" s="5"/>
      <c r="M939" s="5"/>
      <c r="N939" s="5"/>
      <c r="O939" s="5"/>
      <c r="P939" s="80"/>
      <c r="Q939" s="5"/>
    </row>
    <row r="940" spans="12:17" x14ac:dyDescent="0.3">
      <c r="L940" s="5"/>
      <c r="M940" s="5"/>
      <c r="N940" s="5"/>
      <c r="O940" s="5"/>
      <c r="P940" s="80"/>
      <c r="Q940" s="5"/>
    </row>
    <row r="941" spans="12:17" x14ac:dyDescent="0.3">
      <c r="L941" s="5"/>
      <c r="M941" s="5"/>
      <c r="N941" s="5"/>
      <c r="O941" s="5"/>
      <c r="P941" s="80"/>
      <c r="Q941" s="5"/>
    </row>
    <row r="942" spans="12:17" x14ac:dyDescent="0.3">
      <c r="L942" s="5"/>
      <c r="M942" s="5"/>
      <c r="N942" s="5"/>
      <c r="O942" s="5"/>
      <c r="P942" s="80"/>
      <c r="Q942" s="5"/>
    </row>
    <row r="943" spans="12:17" x14ac:dyDescent="0.3">
      <c r="L943" s="5"/>
      <c r="M943" s="5"/>
      <c r="N943" s="5"/>
      <c r="O943" s="5"/>
      <c r="P943" s="80"/>
      <c r="Q943" s="5"/>
    </row>
    <row r="944" spans="12:17" x14ac:dyDescent="0.3">
      <c r="L944" s="5"/>
      <c r="M944" s="5"/>
      <c r="N944" s="5"/>
      <c r="O944" s="5"/>
      <c r="P944" s="80"/>
      <c r="Q944" s="5"/>
    </row>
    <row r="945" spans="12:17" x14ac:dyDescent="0.3">
      <c r="L945" s="5"/>
      <c r="M945" s="5"/>
      <c r="N945" s="5"/>
      <c r="O945" s="5"/>
      <c r="P945" s="80"/>
      <c r="Q945" s="5"/>
    </row>
    <row r="946" spans="12:17" x14ac:dyDescent="0.3">
      <c r="L946" s="5"/>
      <c r="M946" s="5"/>
      <c r="N946" s="5"/>
      <c r="O946" s="5"/>
      <c r="P946" s="80"/>
      <c r="Q946" s="5"/>
    </row>
    <row r="947" spans="12:17" x14ac:dyDescent="0.3">
      <c r="L947" s="5"/>
      <c r="M947" s="5"/>
      <c r="N947" s="5"/>
      <c r="O947" s="5"/>
      <c r="P947" s="80"/>
      <c r="Q947" s="5"/>
    </row>
    <row r="948" spans="12:17" x14ac:dyDescent="0.3">
      <c r="L948" s="5"/>
      <c r="M948" s="5"/>
      <c r="N948" s="5"/>
      <c r="O948" s="5"/>
      <c r="P948" s="80"/>
      <c r="Q948" s="5"/>
    </row>
    <row r="949" spans="12:17" x14ac:dyDescent="0.3">
      <c r="L949" s="5"/>
      <c r="M949" s="5"/>
      <c r="N949" s="5"/>
      <c r="O949" s="5"/>
      <c r="P949" s="80"/>
      <c r="Q949" s="5"/>
    </row>
    <row r="950" spans="12:17" x14ac:dyDescent="0.3">
      <c r="L950" s="5"/>
      <c r="M950" s="5"/>
      <c r="N950" s="5"/>
      <c r="O950" s="5"/>
      <c r="P950" s="80"/>
      <c r="Q950" s="5"/>
    </row>
    <row r="951" spans="12:17" x14ac:dyDescent="0.3">
      <c r="L951" s="5"/>
      <c r="M951" s="5"/>
      <c r="N951" s="5"/>
      <c r="O951" s="5"/>
      <c r="P951" s="80"/>
      <c r="Q951" s="5"/>
    </row>
    <row r="952" spans="12:17" x14ac:dyDescent="0.3">
      <c r="L952" s="5"/>
      <c r="M952" s="5"/>
      <c r="N952" s="5"/>
      <c r="O952" s="5"/>
      <c r="P952" s="80"/>
      <c r="Q952" s="5"/>
    </row>
    <row r="953" spans="12:17" x14ac:dyDescent="0.3">
      <c r="L953" s="5"/>
      <c r="M953" s="5"/>
      <c r="N953" s="5"/>
      <c r="O953" s="5"/>
      <c r="P953" s="80"/>
      <c r="Q953" s="5"/>
    </row>
    <row r="954" spans="12:17" x14ac:dyDescent="0.3">
      <c r="L954" s="5"/>
      <c r="M954" s="5"/>
      <c r="N954" s="5"/>
      <c r="O954" s="5"/>
      <c r="P954" s="80"/>
      <c r="Q954" s="5"/>
    </row>
    <row r="955" spans="12:17" x14ac:dyDescent="0.3">
      <c r="L955" s="5"/>
      <c r="M955" s="5"/>
      <c r="N955" s="5"/>
      <c r="O955" s="5"/>
      <c r="P955" s="80"/>
      <c r="Q955" s="5"/>
    </row>
    <row r="956" spans="12:17" x14ac:dyDescent="0.3">
      <c r="L956" s="5"/>
      <c r="M956" s="5"/>
      <c r="N956" s="5"/>
      <c r="O956" s="5"/>
      <c r="P956" s="80"/>
      <c r="Q956" s="5"/>
    </row>
    <row r="957" spans="12:17" x14ac:dyDescent="0.3">
      <c r="L957" s="5"/>
      <c r="M957" s="5"/>
      <c r="N957" s="5"/>
      <c r="O957" s="5"/>
      <c r="P957" s="80"/>
      <c r="Q957" s="5"/>
    </row>
    <row r="958" spans="12:17" x14ac:dyDescent="0.3">
      <c r="L958" s="5"/>
      <c r="M958" s="5"/>
      <c r="N958" s="5"/>
      <c r="O958" s="5"/>
      <c r="P958" s="80"/>
      <c r="Q958" s="5"/>
    </row>
    <row r="959" spans="12:17" x14ac:dyDescent="0.3">
      <c r="L959" s="5"/>
      <c r="M959" s="5"/>
      <c r="N959" s="5"/>
      <c r="O959" s="5"/>
      <c r="P959" s="80"/>
      <c r="Q959" s="5"/>
    </row>
    <row r="960" spans="12:17" x14ac:dyDescent="0.3">
      <c r="L960" s="5"/>
      <c r="M960" s="5"/>
      <c r="N960" s="5"/>
      <c r="O960" s="5"/>
      <c r="P960" s="80"/>
      <c r="Q960" s="5"/>
    </row>
    <row r="961" spans="12:17" x14ac:dyDescent="0.3">
      <c r="L961" s="5"/>
      <c r="M961" s="5"/>
      <c r="N961" s="5"/>
      <c r="O961" s="5"/>
      <c r="P961" s="80"/>
      <c r="Q961" s="5"/>
    </row>
    <row r="962" spans="12:17" x14ac:dyDescent="0.3">
      <c r="L962" s="5"/>
      <c r="M962" s="5"/>
      <c r="N962" s="5"/>
      <c r="O962" s="5"/>
      <c r="P962" s="80"/>
      <c r="Q962" s="5"/>
    </row>
    <row r="963" spans="12:17" x14ac:dyDescent="0.3">
      <c r="L963" s="5"/>
      <c r="M963" s="5"/>
      <c r="N963" s="5"/>
      <c r="O963" s="5"/>
      <c r="P963" s="80"/>
      <c r="Q963" s="5"/>
    </row>
    <row r="964" spans="12:17" x14ac:dyDescent="0.3">
      <c r="L964" s="5"/>
      <c r="M964" s="5"/>
      <c r="N964" s="5"/>
      <c r="O964" s="5"/>
      <c r="P964" s="80"/>
      <c r="Q964" s="5"/>
    </row>
    <row r="965" spans="12:17" x14ac:dyDescent="0.3">
      <c r="L965" s="5"/>
      <c r="M965" s="5"/>
      <c r="N965" s="5"/>
      <c r="O965" s="5"/>
      <c r="P965" s="80"/>
      <c r="Q965" s="5"/>
    </row>
    <row r="966" spans="12:17" x14ac:dyDescent="0.3">
      <c r="L966" s="5"/>
      <c r="M966" s="5"/>
      <c r="N966" s="5"/>
      <c r="O966" s="5"/>
      <c r="P966" s="80"/>
      <c r="Q966" s="5"/>
    </row>
    <row r="967" spans="12:17" x14ac:dyDescent="0.3">
      <c r="L967" s="5"/>
      <c r="M967" s="5"/>
      <c r="N967" s="5"/>
      <c r="O967" s="5"/>
      <c r="P967" s="80"/>
      <c r="Q967" s="5"/>
    </row>
    <row r="968" spans="12:17" x14ac:dyDescent="0.3">
      <c r="L968" s="5"/>
      <c r="M968" s="5"/>
      <c r="N968" s="5"/>
      <c r="O968" s="5"/>
      <c r="P968" s="80"/>
      <c r="Q968" s="5"/>
    </row>
    <row r="969" spans="12:17" x14ac:dyDescent="0.3">
      <c r="L969" s="5"/>
      <c r="M969" s="5"/>
      <c r="N969" s="5"/>
      <c r="O969" s="5"/>
      <c r="P969" s="80"/>
      <c r="Q969" s="5"/>
    </row>
    <row r="970" spans="12:17" x14ac:dyDescent="0.3">
      <c r="L970" s="5"/>
      <c r="M970" s="5"/>
      <c r="N970" s="5"/>
      <c r="O970" s="5"/>
      <c r="P970" s="80"/>
      <c r="Q970" s="5"/>
    </row>
    <row r="971" spans="12:17" x14ac:dyDescent="0.3">
      <c r="L971" s="5"/>
      <c r="M971" s="5"/>
      <c r="N971" s="5"/>
      <c r="O971" s="5"/>
      <c r="P971" s="80"/>
      <c r="Q971" s="5"/>
    </row>
    <row r="972" spans="12:17" x14ac:dyDescent="0.3">
      <c r="L972" s="5"/>
      <c r="M972" s="5"/>
      <c r="N972" s="5"/>
      <c r="O972" s="5"/>
      <c r="P972" s="80"/>
      <c r="Q972" s="5"/>
    </row>
    <row r="973" spans="12:17" x14ac:dyDescent="0.3">
      <c r="L973" s="5"/>
      <c r="M973" s="5"/>
      <c r="N973" s="5"/>
      <c r="O973" s="5"/>
      <c r="P973" s="80"/>
      <c r="Q973" s="5"/>
    </row>
    <row r="974" spans="12:17" x14ac:dyDescent="0.3">
      <c r="L974" s="5"/>
      <c r="M974" s="5"/>
      <c r="N974" s="5"/>
      <c r="O974" s="5"/>
      <c r="P974" s="80"/>
      <c r="Q974" s="5"/>
    </row>
    <row r="975" spans="12:17" x14ac:dyDescent="0.3">
      <c r="L975" s="5"/>
      <c r="M975" s="5"/>
      <c r="N975" s="5"/>
      <c r="O975" s="5"/>
      <c r="P975" s="80"/>
      <c r="Q975" s="5"/>
    </row>
    <row r="976" spans="12:17" x14ac:dyDescent="0.3">
      <c r="L976" s="5"/>
      <c r="M976" s="5"/>
      <c r="N976" s="5"/>
      <c r="O976" s="5"/>
      <c r="P976" s="80"/>
      <c r="Q976" s="5"/>
    </row>
    <row r="977" spans="12:17" x14ac:dyDescent="0.3">
      <c r="L977" s="5"/>
      <c r="M977" s="5"/>
      <c r="N977" s="5"/>
      <c r="O977" s="5"/>
      <c r="P977" s="80"/>
      <c r="Q977" s="5"/>
    </row>
    <row r="978" spans="12:17" x14ac:dyDescent="0.3">
      <c r="L978" s="5"/>
      <c r="M978" s="5"/>
      <c r="N978" s="5"/>
      <c r="O978" s="5"/>
      <c r="P978" s="80"/>
      <c r="Q978" s="5"/>
    </row>
    <row r="979" spans="12:17" x14ac:dyDescent="0.3">
      <c r="L979" s="5"/>
      <c r="M979" s="5"/>
      <c r="N979" s="5"/>
      <c r="O979" s="5"/>
      <c r="P979" s="80"/>
      <c r="Q979" s="5"/>
    </row>
    <row r="980" spans="12:17" x14ac:dyDescent="0.3">
      <c r="L980" s="5"/>
      <c r="M980" s="5"/>
      <c r="N980" s="5"/>
      <c r="O980" s="5"/>
      <c r="P980" s="80"/>
      <c r="Q980" s="5"/>
    </row>
    <row r="981" spans="12:17" x14ac:dyDescent="0.3">
      <c r="L981" s="5"/>
      <c r="M981" s="5"/>
      <c r="N981" s="5"/>
      <c r="O981" s="5"/>
      <c r="P981" s="80"/>
      <c r="Q981" s="5"/>
    </row>
    <row r="982" spans="12:17" x14ac:dyDescent="0.3">
      <c r="L982" s="5"/>
      <c r="M982" s="5"/>
      <c r="N982" s="5"/>
      <c r="O982" s="5"/>
      <c r="P982" s="80"/>
      <c r="Q982" s="5"/>
    </row>
    <row r="983" spans="12:17" x14ac:dyDescent="0.3">
      <c r="L983" s="5"/>
      <c r="M983" s="5"/>
      <c r="N983" s="5"/>
      <c r="O983" s="5"/>
      <c r="P983" s="80"/>
      <c r="Q983" s="5"/>
    </row>
    <row r="984" spans="12:17" x14ac:dyDescent="0.3">
      <c r="L984" s="5"/>
      <c r="M984" s="5"/>
      <c r="N984" s="5"/>
      <c r="O984" s="5"/>
      <c r="P984" s="80"/>
      <c r="Q984" s="5"/>
    </row>
    <row r="985" spans="12:17" x14ac:dyDescent="0.3">
      <c r="L985" s="5"/>
      <c r="M985" s="5"/>
      <c r="N985" s="5"/>
      <c r="O985" s="5"/>
      <c r="P985" s="80"/>
      <c r="Q985" s="5"/>
    </row>
    <row r="986" spans="12:17" x14ac:dyDescent="0.3">
      <c r="L986" s="5"/>
      <c r="M986" s="5"/>
      <c r="N986" s="5"/>
      <c r="O986" s="5"/>
      <c r="P986" s="80"/>
      <c r="Q986" s="5"/>
    </row>
    <row r="987" spans="12:17" x14ac:dyDescent="0.3">
      <c r="L987" s="5"/>
      <c r="M987" s="5"/>
      <c r="N987" s="5"/>
      <c r="O987" s="5"/>
      <c r="P987" s="80"/>
      <c r="Q987" s="5"/>
    </row>
    <row r="988" spans="12:17" x14ac:dyDescent="0.3">
      <c r="L988" s="5"/>
      <c r="M988" s="5"/>
      <c r="N988" s="5"/>
      <c r="O988" s="5"/>
      <c r="P988" s="80"/>
      <c r="Q988" s="5"/>
    </row>
    <row r="989" spans="12:17" x14ac:dyDescent="0.3">
      <c r="L989" s="5"/>
      <c r="M989" s="5"/>
      <c r="N989" s="5"/>
      <c r="O989" s="5"/>
      <c r="P989" s="80"/>
      <c r="Q989" s="5"/>
    </row>
    <row r="990" spans="12:17" x14ac:dyDescent="0.3">
      <c r="L990" s="5"/>
      <c r="M990" s="5"/>
      <c r="N990" s="5"/>
      <c r="O990" s="5"/>
      <c r="P990" s="80"/>
      <c r="Q990" s="5"/>
    </row>
    <row r="991" spans="12:17" x14ac:dyDescent="0.3">
      <c r="L991" s="5"/>
      <c r="M991" s="5"/>
      <c r="N991" s="5"/>
      <c r="O991" s="5"/>
      <c r="P991" s="80"/>
      <c r="Q991" s="5"/>
    </row>
    <row r="992" spans="12:17" x14ac:dyDescent="0.3">
      <c r="L992" s="5"/>
      <c r="M992" s="5"/>
      <c r="N992" s="5"/>
      <c r="O992" s="5"/>
      <c r="P992" s="80"/>
      <c r="Q992" s="5"/>
    </row>
    <row r="993" spans="12:17" x14ac:dyDescent="0.3">
      <c r="L993" s="5"/>
      <c r="M993" s="5"/>
      <c r="N993" s="5"/>
      <c r="O993" s="5"/>
      <c r="P993" s="80"/>
      <c r="Q993" s="5"/>
    </row>
    <row r="994" spans="12:17" x14ac:dyDescent="0.3">
      <c r="L994" s="5"/>
      <c r="M994" s="5"/>
      <c r="N994" s="5"/>
      <c r="O994" s="5"/>
      <c r="P994" s="80"/>
      <c r="Q994" s="5"/>
    </row>
    <row r="995" spans="12:17" x14ac:dyDescent="0.3">
      <c r="L995" s="5"/>
      <c r="M995" s="5"/>
      <c r="N995" s="5"/>
      <c r="O995" s="5"/>
      <c r="P995" s="80"/>
      <c r="Q995" s="5"/>
    </row>
    <row r="996" spans="12:17" x14ac:dyDescent="0.3">
      <c r="L996" s="5"/>
      <c r="M996" s="5"/>
      <c r="N996" s="5"/>
      <c r="O996" s="5"/>
      <c r="P996" s="80"/>
      <c r="Q996" s="5"/>
    </row>
    <row r="997" spans="12:17" x14ac:dyDescent="0.3">
      <c r="L997" s="5"/>
      <c r="M997" s="5"/>
      <c r="N997" s="5"/>
      <c r="O997" s="5"/>
      <c r="P997" s="80"/>
      <c r="Q997" s="5"/>
    </row>
    <row r="998" spans="12:17" x14ac:dyDescent="0.3">
      <c r="L998" s="5"/>
      <c r="M998" s="5"/>
      <c r="N998" s="5"/>
      <c r="O998" s="5"/>
      <c r="P998" s="80"/>
      <c r="Q998" s="5"/>
    </row>
    <row r="999" spans="12:17" x14ac:dyDescent="0.3">
      <c r="L999" s="5"/>
      <c r="M999" s="5"/>
      <c r="N999" s="5"/>
      <c r="O999" s="5"/>
      <c r="P999" s="80"/>
      <c r="Q999" s="5"/>
    </row>
    <row r="1000" spans="12:17" x14ac:dyDescent="0.3">
      <c r="L1000" s="5"/>
      <c r="M1000" s="5"/>
      <c r="N1000" s="5"/>
      <c r="O1000" s="5"/>
      <c r="P1000" s="80"/>
      <c r="Q1000" s="5"/>
    </row>
    <row r="1001" spans="12:17" x14ac:dyDescent="0.3">
      <c r="L1001" s="5"/>
      <c r="M1001" s="5"/>
      <c r="N1001" s="5"/>
      <c r="O1001" s="5"/>
      <c r="P1001" s="80"/>
      <c r="Q1001" s="5"/>
    </row>
    <row r="1002" spans="12:17" x14ac:dyDescent="0.3">
      <c r="L1002" s="5"/>
      <c r="M1002" s="5"/>
      <c r="N1002" s="5"/>
      <c r="O1002" s="5"/>
      <c r="P1002" s="80"/>
      <c r="Q1002" s="5"/>
    </row>
    <row r="1003" spans="12:17" x14ac:dyDescent="0.3">
      <c r="L1003" s="5"/>
      <c r="M1003" s="5"/>
      <c r="N1003" s="5"/>
      <c r="O1003" s="5"/>
      <c r="P1003" s="80"/>
      <c r="Q1003" s="5"/>
    </row>
    <row r="1004" spans="12:17" x14ac:dyDescent="0.3">
      <c r="L1004" s="5"/>
      <c r="M1004" s="5"/>
      <c r="N1004" s="5"/>
      <c r="O1004" s="5"/>
      <c r="P1004" s="80"/>
      <c r="Q1004" s="5"/>
    </row>
    <row r="1005" spans="12:17" x14ac:dyDescent="0.3">
      <c r="L1005" s="5"/>
      <c r="M1005" s="5"/>
      <c r="N1005" s="5"/>
      <c r="O1005" s="5"/>
      <c r="P1005" s="80"/>
      <c r="Q1005" s="5"/>
    </row>
    <row r="1006" spans="12:17" x14ac:dyDescent="0.3">
      <c r="L1006" s="5"/>
      <c r="M1006" s="5"/>
      <c r="N1006" s="5"/>
      <c r="O1006" s="5"/>
      <c r="P1006" s="80"/>
      <c r="Q1006" s="5"/>
    </row>
    <row r="1007" spans="12:17" x14ac:dyDescent="0.3">
      <c r="L1007" s="5"/>
      <c r="M1007" s="5"/>
      <c r="N1007" s="5"/>
      <c r="O1007" s="5"/>
      <c r="P1007" s="80"/>
      <c r="Q1007" s="5"/>
    </row>
    <row r="1008" spans="12:17" x14ac:dyDescent="0.3">
      <c r="L1008" s="5"/>
      <c r="M1008" s="5"/>
      <c r="N1008" s="5"/>
      <c r="O1008" s="5"/>
      <c r="P1008" s="80"/>
      <c r="Q1008" s="5"/>
    </row>
    <row r="1009" spans="12:17" x14ac:dyDescent="0.3">
      <c r="L1009" s="5"/>
      <c r="M1009" s="5"/>
      <c r="N1009" s="5"/>
      <c r="O1009" s="5"/>
      <c r="P1009" s="80"/>
      <c r="Q1009" s="5"/>
    </row>
    <row r="1010" spans="12:17" x14ac:dyDescent="0.3">
      <c r="L1010" s="5"/>
      <c r="M1010" s="5"/>
      <c r="N1010" s="5"/>
      <c r="O1010" s="5"/>
      <c r="P1010" s="80"/>
      <c r="Q1010" s="5"/>
    </row>
    <row r="1011" spans="12:17" x14ac:dyDescent="0.3">
      <c r="L1011" s="5"/>
      <c r="M1011" s="5"/>
      <c r="N1011" s="5"/>
      <c r="O1011" s="5"/>
      <c r="P1011" s="80"/>
      <c r="Q1011" s="5"/>
    </row>
    <row r="1012" spans="12:17" x14ac:dyDescent="0.3">
      <c r="L1012" s="5"/>
      <c r="M1012" s="5"/>
      <c r="N1012" s="5"/>
      <c r="O1012" s="5"/>
      <c r="P1012" s="80"/>
      <c r="Q1012" s="5"/>
    </row>
    <row r="1013" spans="12:17" x14ac:dyDescent="0.3">
      <c r="L1013" s="5"/>
      <c r="M1013" s="5"/>
      <c r="N1013" s="5"/>
      <c r="O1013" s="5"/>
      <c r="P1013" s="80"/>
      <c r="Q1013" s="5"/>
    </row>
    <row r="1014" spans="12:17" x14ac:dyDescent="0.3">
      <c r="L1014" s="5"/>
      <c r="M1014" s="5"/>
      <c r="N1014" s="5"/>
      <c r="O1014" s="5"/>
      <c r="P1014" s="80"/>
      <c r="Q1014" s="5"/>
    </row>
    <row r="1015" spans="12:17" x14ac:dyDescent="0.3">
      <c r="L1015" s="5"/>
      <c r="M1015" s="5"/>
      <c r="N1015" s="5"/>
      <c r="O1015" s="5"/>
      <c r="P1015" s="80"/>
      <c r="Q1015" s="5"/>
    </row>
    <row r="1016" spans="12:17" x14ac:dyDescent="0.3">
      <c r="L1016" s="5"/>
      <c r="M1016" s="5"/>
      <c r="N1016" s="5"/>
      <c r="O1016" s="5"/>
      <c r="P1016" s="80"/>
      <c r="Q1016" s="5"/>
    </row>
    <row r="1017" spans="12:17" x14ac:dyDescent="0.3">
      <c r="L1017" s="5"/>
      <c r="M1017" s="5"/>
      <c r="N1017" s="5"/>
      <c r="O1017" s="5"/>
      <c r="P1017" s="80"/>
      <c r="Q1017" s="5"/>
    </row>
    <row r="1018" spans="12:17" x14ac:dyDescent="0.3">
      <c r="L1018" s="5"/>
      <c r="M1018" s="5"/>
      <c r="N1018" s="5"/>
      <c r="O1018" s="5"/>
      <c r="P1018" s="80"/>
      <c r="Q1018" s="5"/>
    </row>
    <row r="1019" spans="12:17" x14ac:dyDescent="0.3">
      <c r="L1019" s="5"/>
      <c r="M1019" s="5"/>
      <c r="N1019" s="5"/>
      <c r="O1019" s="5"/>
      <c r="P1019" s="80"/>
      <c r="Q1019" s="5"/>
    </row>
    <row r="1020" spans="12:17" x14ac:dyDescent="0.3">
      <c r="L1020" s="5"/>
      <c r="M1020" s="5"/>
      <c r="N1020" s="5"/>
      <c r="O1020" s="5"/>
      <c r="P1020" s="80"/>
      <c r="Q1020" s="5"/>
    </row>
    <row r="1021" spans="12:17" x14ac:dyDescent="0.3">
      <c r="L1021" s="5"/>
      <c r="M1021" s="5"/>
      <c r="N1021" s="5"/>
      <c r="O1021" s="5"/>
      <c r="P1021" s="80"/>
      <c r="Q1021" s="5"/>
    </row>
    <row r="1022" spans="12:17" x14ac:dyDescent="0.3">
      <c r="L1022" s="5"/>
      <c r="M1022" s="5"/>
      <c r="N1022" s="5"/>
      <c r="O1022" s="5"/>
      <c r="P1022" s="80"/>
      <c r="Q1022" s="5"/>
    </row>
    <row r="1023" spans="12:17" x14ac:dyDescent="0.3">
      <c r="L1023" s="5"/>
      <c r="M1023" s="5"/>
      <c r="N1023" s="5"/>
      <c r="O1023" s="5"/>
      <c r="P1023" s="80"/>
      <c r="Q1023" s="5"/>
    </row>
    <row r="1024" spans="12:17" x14ac:dyDescent="0.3">
      <c r="L1024" s="5"/>
      <c r="M1024" s="5"/>
      <c r="N1024" s="5"/>
      <c r="O1024" s="5"/>
      <c r="P1024" s="80"/>
      <c r="Q1024" s="5"/>
    </row>
    <row r="1025" spans="12:17" x14ac:dyDescent="0.3">
      <c r="L1025" s="5"/>
      <c r="M1025" s="5"/>
      <c r="N1025" s="5"/>
      <c r="O1025" s="5"/>
      <c r="P1025" s="80"/>
      <c r="Q1025" s="5"/>
    </row>
    <row r="1026" spans="12:17" x14ac:dyDescent="0.3">
      <c r="L1026" s="5"/>
      <c r="M1026" s="5"/>
      <c r="N1026" s="5"/>
      <c r="O1026" s="5"/>
      <c r="P1026" s="80"/>
      <c r="Q1026" s="5"/>
    </row>
    <row r="1027" spans="12:17" x14ac:dyDescent="0.3">
      <c r="L1027" s="5"/>
      <c r="M1027" s="5"/>
      <c r="N1027" s="5"/>
      <c r="O1027" s="5"/>
      <c r="P1027" s="80"/>
      <c r="Q1027" s="5"/>
    </row>
    <row r="1028" spans="12:17" x14ac:dyDescent="0.3">
      <c r="L1028" s="5"/>
      <c r="M1028" s="5"/>
      <c r="N1028" s="5"/>
      <c r="O1028" s="5"/>
      <c r="P1028" s="80"/>
      <c r="Q1028" s="5"/>
    </row>
    <row r="1029" spans="12:17" x14ac:dyDescent="0.3">
      <c r="L1029" s="5"/>
      <c r="M1029" s="5"/>
      <c r="N1029" s="5"/>
      <c r="O1029" s="5"/>
      <c r="P1029" s="80"/>
      <c r="Q1029" s="5"/>
    </row>
    <row r="1030" spans="12:17" x14ac:dyDescent="0.3">
      <c r="L1030" s="5"/>
      <c r="M1030" s="5"/>
      <c r="N1030" s="5"/>
      <c r="O1030" s="5"/>
      <c r="P1030" s="80"/>
      <c r="Q1030" s="5"/>
    </row>
    <row r="1031" spans="12:17" x14ac:dyDescent="0.3">
      <c r="L1031" s="5"/>
      <c r="M1031" s="5"/>
      <c r="N1031" s="5"/>
      <c r="O1031" s="5"/>
      <c r="P1031" s="80"/>
      <c r="Q1031" s="5"/>
    </row>
    <row r="1032" spans="12:17" x14ac:dyDescent="0.3">
      <c r="L1032" s="5"/>
      <c r="M1032" s="5"/>
      <c r="N1032" s="5"/>
      <c r="O1032" s="5"/>
      <c r="P1032" s="80"/>
      <c r="Q1032" s="5"/>
    </row>
    <row r="1033" spans="12:17" x14ac:dyDescent="0.3">
      <c r="L1033" s="5"/>
      <c r="M1033" s="5"/>
      <c r="N1033" s="5"/>
      <c r="O1033" s="5"/>
      <c r="P1033" s="80"/>
      <c r="Q1033" s="5"/>
    </row>
    <row r="1034" spans="12:17" x14ac:dyDescent="0.3">
      <c r="L1034" s="5"/>
      <c r="M1034" s="5"/>
      <c r="N1034" s="5"/>
      <c r="O1034" s="5"/>
      <c r="P1034" s="80"/>
      <c r="Q1034" s="5"/>
    </row>
    <row r="1035" spans="12:17" x14ac:dyDescent="0.3">
      <c r="L1035" s="5"/>
      <c r="M1035" s="5"/>
      <c r="N1035" s="5"/>
      <c r="O1035" s="5"/>
      <c r="P1035" s="80"/>
      <c r="Q1035" s="5"/>
    </row>
    <row r="1036" spans="12:17" x14ac:dyDescent="0.3">
      <c r="L1036" s="5"/>
      <c r="M1036" s="5"/>
      <c r="N1036" s="5"/>
      <c r="O1036" s="5"/>
      <c r="P1036" s="80"/>
      <c r="Q1036" s="5"/>
    </row>
    <row r="1037" spans="12:17" x14ac:dyDescent="0.3">
      <c r="L1037" s="5"/>
      <c r="M1037" s="5"/>
      <c r="N1037" s="5"/>
      <c r="O1037" s="5"/>
      <c r="P1037" s="80"/>
      <c r="Q1037" s="5"/>
    </row>
    <row r="1038" spans="12:17" x14ac:dyDescent="0.3">
      <c r="L1038" s="5"/>
      <c r="M1038" s="5"/>
      <c r="N1038" s="5"/>
      <c r="O1038" s="5"/>
      <c r="P1038" s="80"/>
      <c r="Q1038" s="5"/>
    </row>
    <row r="1039" spans="12:17" x14ac:dyDescent="0.3">
      <c r="L1039" s="5"/>
      <c r="M1039" s="5"/>
      <c r="N1039" s="5"/>
      <c r="O1039" s="5"/>
      <c r="P1039" s="80"/>
      <c r="Q1039" s="5"/>
    </row>
    <row r="1040" spans="12:17" x14ac:dyDescent="0.3">
      <c r="L1040" s="5"/>
      <c r="M1040" s="5"/>
      <c r="N1040" s="5"/>
      <c r="O1040" s="5"/>
      <c r="P1040" s="80"/>
      <c r="Q1040" s="5"/>
    </row>
    <row r="1041" spans="12:17" x14ac:dyDescent="0.3">
      <c r="L1041" s="5"/>
      <c r="M1041" s="5"/>
      <c r="N1041" s="5"/>
      <c r="O1041" s="5"/>
      <c r="P1041" s="80"/>
      <c r="Q1041" s="5"/>
    </row>
    <row r="1042" spans="12:17" x14ac:dyDescent="0.3">
      <c r="L1042" s="5"/>
      <c r="M1042" s="5"/>
      <c r="N1042" s="5"/>
      <c r="O1042" s="5"/>
      <c r="P1042" s="80"/>
      <c r="Q1042" s="5"/>
    </row>
    <row r="1043" spans="12:17" x14ac:dyDescent="0.3">
      <c r="L1043" s="5"/>
      <c r="M1043" s="5"/>
      <c r="N1043" s="5"/>
      <c r="O1043" s="5"/>
      <c r="P1043" s="80"/>
      <c r="Q1043" s="5"/>
    </row>
    <row r="1044" spans="12:17" x14ac:dyDescent="0.3">
      <c r="L1044" s="5"/>
      <c r="M1044" s="5"/>
      <c r="N1044" s="5"/>
      <c r="O1044" s="5"/>
      <c r="P1044" s="80"/>
      <c r="Q1044" s="5"/>
    </row>
    <row r="1045" spans="12:17" x14ac:dyDescent="0.3">
      <c r="L1045" s="5"/>
      <c r="M1045" s="5"/>
      <c r="N1045" s="5"/>
      <c r="O1045" s="5"/>
      <c r="P1045" s="80"/>
      <c r="Q1045" s="5"/>
    </row>
    <row r="1046" spans="12:17" x14ac:dyDescent="0.3">
      <c r="L1046" s="5"/>
      <c r="M1046" s="5"/>
      <c r="N1046" s="5"/>
      <c r="O1046" s="5"/>
      <c r="P1046" s="80"/>
      <c r="Q1046" s="5"/>
    </row>
    <row r="1047" spans="12:17" x14ac:dyDescent="0.3">
      <c r="L1047" s="5"/>
      <c r="M1047" s="5"/>
      <c r="N1047" s="5"/>
      <c r="O1047" s="5"/>
      <c r="P1047" s="80"/>
      <c r="Q1047" s="5"/>
    </row>
    <row r="1048" spans="12:17" x14ac:dyDescent="0.3">
      <c r="L1048" s="5"/>
      <c r="M1048" s="5"/>
      <c r="N1048" s="5"/>
      <c r="O1048" s="5"/>
      <c r="P1048" s="80"/>
      <c r="Q1048" s="5"/>
    </row>
    <row r="1049" spans="12:17" x14ac:dyDescent="0.3">
      <c r="L1049" s="5"/>
      <c r="M1049" s="5"/>
      <c r="N1049" s="5"/>
      <c r="O1049" s="5"/>
      <c r="P1049" s="80"/>
      <c r="Q1049" s="5"/>
    </row>
    <row r="1050" spans="12:17" x14ac:dyDescent="0.3">
      <c r="L1050" s="5"/>
      <c r="M1050" s="5"/>
      <c r="N1050" s="5"/>
      <c r="O1050" s="5"/>
      <c r="P1050" s="80"/>
      <c r="Q1050" s="5"/>
    </row>
    <row r="1051" spans="12:17" x14ac:dyDescent="0.3">
      <c r="L1051" s="5"/>
      <c r="M1051" s="5"/>
      <c r="N1051" s="5"/>
      <c r="O1051" s="5"/>
      <c r="P1051" s="80"/>
      <c r="Q1051" s="5"/>
    </row>
    <row r="1052" spans="12:17" x14ac:dyDescent="0.3">
      <c r="L1052" s="5"/>
      <c r="M1052" s="5"/>
      <c r="N1052" s="5"/>
      <c r="O1052" s="5"/>
      <c r="P1052" s="80"/>
      <c r="Q1052" s="5"/>
    </row>
    <row r="1053" spans="12:17" x14ac:dyDescent="0.3">
      <c r="L1053" s="5"/>
      <c r="M1053" s="5"/>
      <c r="N1053" s="5"/>
      <c r="O1053" s="5"/>
      <c r="P1053" s="80"/>
      <c r="Q1053" s="5"/>
    </row>
    <row r="1054" spans="12:17" x14ac:dyDescent="0.3">
      <c r="L1054" s="5"/>
      <c r="M1054" s="5"/>
      <c r="N1054" s="5"/>
      <c r="O1054" s="5"/>
      <c r="P1054" s="80"/>
      <c r="Q1054" s="5"/>
    </row>
    <row r="1055" spans="12:17" x14ac:dyDescent="0.3">
      <c r="L1055" s="5"/>
      <c r="M1055" s="5"/>
      <c r="N1055" s="5"/>
      <c r="O1055" s="5"/>
      <c r="P1055" s="80"/>
      <c r="Q1055" s="5"/>
    </row>
    <row r="1056" spans="12:17" x14ac:dyDescent="0.3">
      <c r="L1056" s="5"/>
      <c r="M1056" s="5"/>
      <c r="N1056" s="5"/>
      <c r="O1056" s="5"/>
      <c r="P1056" s="80"/>
      <c r="Q1056" s="5"/>
    </row>
    <row r="1057" spans="12:17" x14ac:dyDescent="0.3">
      <c r="L1057" s="5"/>
      <c r="M1057" s="5"/>
      <c r="N1057" s="5"/>
      <c r="O1057" s="5"/>
      <c r="P1057" s="80"/>
      <c r="Q1057" s="5"/>
    </row>
    <row r="1058" spans="12:17" x14ac:dyDescent="0.3">
      <c r="L1058" s="5"/>
      <c r="M1058" s="5"/>
      <c r="N1058" s="5"/>
      <c r="O1058" s="5"/>
      <c r="P1058" s="80"/>
      <c r="Q1058" s="5"/>
    </row>
    <row r="1059" spans="12:17" x14ac:dyDescent="0.3">
      <c r="L1059" s="5"/>
      <c r="M1059" s="5"/>
      <c r="N1059" s="5"/>
      <c r="O1059" s="5"/>
      <c r="P1059" s="80"/>
      <c r="Q1059" s="5"/>
    </row>
    <row r="1060" spans="12:17" x14ac:dyDescent="0.3">
      <c r="L1060" s="5"/>
      <c r="M1060" s="5"/>
      <c r="N1060" s="5"/>
      <c r="O1060" s="5"/>
      <c r="P1060" s="80"/>
      <c r="Q1060" s="5"/>
    </row>
    <row r="1061" spans="12:17" x14ac:dyDescent="0.3">
      <c r="L1061" s="5"/>
      <c r="M1061" s="5"/>
      <c r="N1061" s="5"/>
      <c r="O1061" s="5"/>
      <c r="P1061" s="80"/>
      <c r="Q1061" s="5"/>
    </row>
    <row r="1062" spans="12:17" x14ac:dyDescent="0.3">
      <c r="L1062" s="5"/>
      <c r="M1062" s="5"/>
      <c r="N1062" s="5"/>
      <c r="O1062" s="5"/>
      <c r="P1062" s="80"/>
      <c r="Q1062" s="5"/>
    </row>
    <row r="1063" spans="12:17" x14ac:dyDescent="0.3">
      <c r="L1063" s="5"/>
      <c r="M1063" s="5"/>
      <c r="N1063" s="5"/>
      <c r="O1063" s="5"/>
      <c r="P1063" s="80"/>
      <c r="Q1063" s="5"/>
    </row>
    <row r="1064" spans="12:17" x14ac:dyDescent="0.3">
      <c r="L1064" s="5"/>
      <c r="M1064" s="5"/>
      <c r="N1064" s="5"/>
      <c r="O1064" s="5"/>
      <c r="P1064" s="80"/>
      <c r="Q1064" s="5"/>
    </row>
    <row r="1065" spans="12:17" x14ac:dyDescent="0.3">
      <c r="L1065" s="5"/>
      <c r="M1065" s="5"/>
      <c r="N1065" s="5"/>
      <c r="O1065" s="5"/>
      <c r="P1065" s="80"/>
      <c r="Q1065" s="5"/>
    </row>
    <row r="1066" spans="12:17" x14ac:dyDescent="0.3">
      <c r="L1066" s="5"/>
      <c r="M1066" s="5"/>
      <c r="N1066" s="5"/>
      <c r="O1066" s="5"/>
      <c r="P1066" s="80"/>
      <c r="Q1066" s="5"/>
    </row>
    <row r="1067" spans="12:17" x14ac:dyDescent="0.3">
      <c r="L1067" s="5"/>
      <c r="M1067" s="5"/>
      <c r="N1067" s="5"/>
      <c r="O1067" s="5"/>
      <c r="P1067" s="80"/>
      <c r="Q1067" s="5"/>
    </row>
    <row r="1068" spans="12:17" x14ac:dyDescent="0.3">
      <c r="L1068" s="5"/>
      <c r="M1068" s="5"/>
      <c r="N1068" s="5"/>
      <c r="O1068" s="5"/>
      <c r="P1068" s="80"/>
      <c r="Q1068" s="5"/>
    </row>
    <row r="1069" spans="12:17" x14ac:dyDescent="0.3">
      <c r="L1069" s="5"/>
      <c r="M1069" s="5"/>
      <c r="N1069" s="5"/>
      <c r="O1069" s="5"/>
      <c r="P1069" s="80"/>
      <c r="Q1069" s="5"/>
    </row>
    <row r="1070" spans="12:17" x14ac:dyDescent="0.3">
      <c r="L1070" s="5"/>
      <c r="M1070" s="5"/>
      <c r="N1070" s="5"/>
      <c r="O1070" s="5"/>
      <c r="P1070" s="80"/>
      <c r="Q1070" s="5"/>
    </row>
    <row r="1071" spans="12:17" x14ac:dyDescent="0.3">
      <c r="L1071" s="5"/>
      <c r="M1071" s="5"/>
      <c r="N1071" s="5"/>
      <c r="O1071" s="5"/>
      <c r="P1071" s="80"/>
      <c r="Q1071" s="5"/>
    </row>
    <row r="1072" spans="12:17" x14ac:dyDescent="0.3">
      <c r="L1072" s="5"/>
      <c r="M1072" s="5"/>
      <c r="N1072" s="5"/>
      <c r="O1072" s="5"/>
      <c r="P1072" s="80"/>
      <c r="Q1072" s="5"/>
    </row>
    <row r="1073" spans="12:17" x14ac:dyDescent="0.3">
      <c r="L1073" s="5"/>
      <c r="M1073" s="5"/>
      <c r="N1073" s="5"/>
      <c r="O1073" s="5"/>
      <c r="P1073" s="80"/>
      <c r="Q1073" s="5"/>
    </row>
    <row r="1074" spans="12:17" x14ac:dyDescent="0.3">
      <c r="L1074" s="5"/>
      <c r="M1074" s="5"/>
      <c r="N1074" s="5"/>
      <c r="O1074" s="5"/>
      <c r="P1074" s="80"/>
      <c r="Q1074" s="5"/>
    </row>
    <row r="1075" spans="12:17" x14ac:dyDescent="0.3">
      <c r="L1075" s="5"/>
      <c r="M1075" s="5"/>
      <c r="N1075" s="5"/>
      <c r="O1075" s="5"/>
      <c r="P1075" s="80"/>
      <c r="Q1075" s="5"/>
    </row>
    <row r="1076" spans="12:17" x14ac:dyDescent="0.3">
      <c r="L1076" s="5"/>
      <c r="M1076" s="5"/>
      <c r="N1076" s="5"/>
      <c r="O1076" s="5"/>
      <c r="P1076" s="80"/>
      <c r="Q1076" s="5"/>
    </row>
    <row r="1077" spans="12:17" x14ac:dyDescent="0.3">
      <c r="L1077" s="5"/>
      <c r="M1077" s="5"/>
      <c r="N1077" s="5"/>
      <c r="O1077" s="5"/>
      <c r="P1077" s="80"/>
      <c r="Q1077" s="5"/>
    </row>
    <row r="1078" spans="12:17" x14ac:dyDescent="0.3">
      <c r="L1078" s="5"/>
      <c r="M1078" s="5"/>
      <c r="N1078" s="5"/>
      <c r="O1078" s="5"/>
      <c r="P1078" s="80"/>
      <c r="Q1078" s="5"/>
    </row>
    <row r="1079" spans="12:17" x14ac:dyDescent="0.3">
      <c r="L1079" s="5"/>
      <c r="M1079" s="5"/>
      <c r="N1079" s="5"/>
      <c r="O1079" s="5"/>
      <c r="P1079" s="80"/>
      <c r="Q1079" s="5"/>
    </row>
    <row r="1080" spans="12:17" x14ac:dyDescent="0.3">
      <c r="L1080" s="5"/>
      <c r="M1080" s="5"/>
      <c r="N1080" s="5"/>
      <c r="O1080" s="5"/>
      <c r="P1080" s="80"/>
      <c r="Q1080" s="5"/>
    </row>
    <row r="1081" spans="12:17" x14ac:dyDescent="0.3">
      <c r="L1081" s="5"/>
      <c r="M1081" s="5"/>
      <c r="N1081" s="5"/>
      <c r="O1081" s="5"/>
      <c r="P1081" s="80"/>
      <c r="Q1081" s="5"/>
    </row>
    <row r="1082" spans="12:17" x14ac:dyDescent="0.3">
      <c r="L1082" s="5"/>
      <c r="M1082" s="5"/>
      <c r="N1082" s="5"/>
      <c r="O1082" s="5"/>
      <c r="P1082" s="80"/>
      <c r="Q1082" s="5"/>
    </row>
    <row r="1083" spans="12:17" x14ac:dyDescent="0.3">
      <c r="L1083" s="5"/>
      <c r="M1083" s="5"/>
      <c r="N1083" s="5"/>
      <c r="O1083" s="5"/>
      <c r="P1083" s="80"/>
      <c r="Q1083" s="5"/>
    </row>
    <row r="1084" spans="12:17" x14ac:dyDescent="0.3">
      <c r="L1084" s="5"/>
      <c r="M1084" s="5"/>
      <c r="N1084" s="5"/>
      <c r="O1084" s="5"/>
      <c r="P1084" s="80"/>
      <c r="Q1084" s="5"/>
    </row>
    <row r="1085" spans="12:17" x14ac:dyDescent="0.3">
      <c r="L1085" s="5"/>
      <c r="M1085" s="5"/>
      <c r="N1085" s="5"/>
      <c r="O1085" s="5"/>
      <c r="P1085" s="80"/>
      <c r="Q1085" s="5"/>
    </row>
    <row r="1086" spans="12:17" x14ac:dyDescent="0.3">
      <c r="L1086" s="5"/>
      <c r="M1086" s="5"/>
      <c r="N1086" s="5"/>
      <c r="O1086" s="5"/>
      <c r="P1086" s="80"/>
      <c r="Q1086" s="5"/>
    </row>
    <row r="1087" spans="12:17" x14ac:dyDescent="0.3">
      <c r="L1087" s="5"/>
      <c r="M1087" s="5"/>
      <c r="N1087" s="5"/>
      <c r="O1087" s="5"/>
      <c r="P1087" s="80"/>
      <c r="Q1087" s="5"/>
    </row>
    <row r="1088" spans="12:17" x14ac:dyDescent="0.3">
      <c r="L1088" s="5"/>
      <c r="M1088" s="5"/>
      <c r="N1088" s="5"/>
      <c r="O1088" s="5"/>
      <c r="P1088" s="80"/>
      <c r="Q1088" s="5"/>
    </row>
    <row r="1089" spans="12:17" x14ac:dyDescent="0.3">
      <c r="L1089" s="5"/>
      <c r="M1089" s="5"/>
      <c r="N1089" s="5"/>
      <c r="O1089" s="5"/>
      <c r="P1089" s="80"/>
      <c r="Q1089" s="5"/>
    </row>
    <row r="1090" spans="12:17" x14ac:dyDescent="0.3">
      <c r="L1090" s="5"/>
      <c r="M1090" s="5"/>
      <c r="N1090" s="5"/>
      <c r="O1090" s="5"/>
      <c r="P1090" s="80"/>
      <c r="Q1090" s="5"/>
    </row>
    <row r="1091" spans="12:17" x14ac:dyDescent="0.3">
      <c r="L1091" s="5"/>
      <c r="M1091" s="5"/>
      <c r="N1091" s="5"/>
      <c r="O1091" s="5"/>
      <c r="P1091" s="80"/>
      <c r="Q1091" s="5"/>
    </row>
    <row r="1092" spans="12:17" x14ac:dyDescent="0.3">
      <c r="L1092" s="5"/>
      <c r="M1092" s="5"/>
      <c r="N1092" s="5"/>
      <c r="O1092" s="5"/>
      <c r="P1092" s="80"/>
      <c r="Q1092" s="5"/>
    </row>
    <row r="1093" spans="12:17" x14ac:dyDescent="0.3">
      <c r="L1093" s="5"/>
      <c r="M1093" s="5"/>
      <c r="N1093" s="5"/>
      <c r="O1093" s="5"/>
      <c r="P1093" s="80"/>
      <c r="Q1093" s="5"/>
    </row>
    <row r="1094" spans="12:17" x14ac:dyDescent="0.3">
      <c r="L1094" s="5"/>
      <c r="M1094" s="5"/>
      <c r="N1094" s="5"/>
      <c r="O1094" s="5"/>
      <c r="P1094" s="80"/>
      <c r="Q1094" s="5"/>
    </row>
    <row r="1095" spans="12:17" x14ac:dyDescent="0.3">
      <c r="L1095" s="5"/>
      <c r="M1095" s="5"/>
      <c r="N1095" s="5"/>
      <c r="O1095" s="5"/>
      <c r="P1095" s="80"/>
      <c r="Q1095" s="5"/>
    </row>
    <row r="1096" spans="12:17" x14ac:dyDescent="0.3">
      <c r="L1096" s="5"/>
      <c r="M1096" s="5"/>
      <c r="N1096" s="5"/>
      <c r="O1096" s="5"/>
      <c r="P1096" s="80"/>
      <c r="Q1096" s="5"/>
    </row>
    <row r="1097" spans="12:17" x14ac:dyDescent="0.3">
      <c r="L1097" s="5"/>
      <c r="M1097" s="5"/>
      <c r="N1097" s="5"/>
      <c r="O1097" s="5"/>
      <c r="P1097" s="80"/>
      <c r="Q1097" s="5"/>
    </row>
    <row r="1098" spans="12:17" x14ac:dyDescent="0.3">
      <c r="L1098" s="5"/>
      <c r="M1098" s="5"/>
      <c r="N1098" s="5"/>
      <c r="O1098" s="5"/>
      <c r="P1098" s="80"/>
      <c r="Q1098" s="5"/>
    </row>
    <row r="1099" spans="12:17" x14ac:dyDescent="0.3">
      <c r="L1099" s="5"/>
      <c r="M1099" s="5"/>
      <c r="N1099" s="5"/>
      <c r="O1099" s="5"/>
      <c r="P1099" s="80"/>
      <c r="Q1099" s="5"/>
    </row>
    <row r="1100" spans="12:17" x14ac:dyDescent="0.3">
      <c r="L1100" s="5"/>
      <c r="M1100" s="5"/>
      <c r="N1100" s="5"/>
      <c r="O1100" s="5"/>
      <c r="P1100" s="80"/>
      <c r="Q1100" s="5"/>
    </row>
    <row r="1101" spans="12:17" x14ac:dyDescent="0.3">
      <c r="L1101" s="5"/>
      <c r="M1101" s="5"/>
      <c r="N1101" s="5"/>
      <c r="O1101" s="5"/>
      <c r="P1101" s="80"/>
      <c r="Q1101" s="5"/>
    </row>
    <row r="1102" spans="12:17" x14ac:dyDescent="0.3">
      <c r="L1102" s="5"/>
      <c r="M1102" s="5"/>
      <c r="N1102" s="5"/>
      <c r="O1102" s="5"/>
      <c r="P1102" s="80"/>
      <c r="Q1102" s="5"/>
    </row>
    <row r="1103" spans="12:17" x14ac:dyDescent="0.3">
      <c r="L1103" s="5"/>
      <c r="M1103" s="5"/>
      <c r="N1103" s="5"/>
      <c r="O1103" s="5"/>
      <c r="P1103" s="80"/>
      <c r="Q1103" s="5"/>
    </row>
    <row r="1104" spans="12:17" x14ac:dyDescent="0.3">
      <c r="L1104" s="5"/>
      <c r="M1104" s="5"/>
      <c r="N1104" s="5"/>
      <c r="O1104" s="5"/>
      <c r="P1104" s="80"/>
      <c r="Q1104" s="5"/>
    </row>
    <row r="1105" spans="12:17" x14ac:dyDescent="0.3">
      <c r="L1105" s="5"/>
      <c r="M1105" s="5"/>
      <c r="N1105" s="5"/>
      <c r="O1105" s="5"/>
      <c r="P1105" s="80"/>
      <c r="Q1105" s="5"/>
    </row>
    <row r="1106" spans="12:17" x14ac:dyDescent="0.3">
      <c r="L1106" s="5"/>
      <c r="M1106" s="5"/>
      <c r="N1106" s="5"/>
      <c r="O1106" s="5"/>
      <c r="P1106" s="80"/>
      <c r="Q1106" s="5"/>
    </row>
    <row r="1107" spans="12:17" x14ac:dyDescent="0.3">
      <c r="L1107" s="5"/>
      <c r="M1107" s="5"/>
      <c r="N1107" s="5"/>
      <c r="O1107" s="5"/>
      <c r="P1107" s="80"/>
      <c r="Q1107" s="5"/>
    </row>
    <row r="1108" spans="12:17" x14ac:dyDescent="0.3">
      <c r="L1108" s="5"/>
      <c r="M1108" s="5"/>
      <c r="N1108" s="5"/>
      <c r="O1108" s="5"/>
      <c r="P1108" s="80"/>
      <c r="Q1108" s="5"/>
    </row>
    <row r="1109" spans="12:17" x14ac:dyDescent="0.3">
      <c r="L1109" s="5"/>
      <c r="M1109" s="5"/>
      <c r="N1109" s="5"/>
      <c r="O1109" s="5"/>
      <c r="P1109" s="80"/>
      <c r="Q1109" s="5"/>
    </row>
    <row r="1110" spans="12:17" x14ac:dyDescent="0.3">
      <c r="L1110" s="5"/>
      <c r="M1110" s="5"/>
      <c r="N1110" s="5"/>
      <c r="O1110" s="5"/>
      <c r="P1110" s="80"/>
      <c r="Q1110" s="5"/>
    </row>
    <row r="1111" spans="12:17" x14ac:dyDescent="0.3">
      <c r="L1111" s="5"/>
      <c r="M1111" s="5"/>
      <c r="N1111" s="5"/>
      <c r="O1111" s="5"/>
      <c r="P1111" s="80"/>
      <c r="Q1111" s="5"/>
    </row>
    <row r="1112" spans="12:17" x14ac:dyDescent="0.3">
      <c r="L1112" s="5"/>
      <c r="M1112" s="5"/>
      <c r="N1112" s="5"/>
      <c r="O1112" s="5"/>
      <c r="P1112" s="80"/>
      <c r="Q1112" s="5"/>
    </row>
    <row r="1113" spans="12:17" x14ac:dyDescent="0.3">
      <c r="L1113" s="5"/>
      <c r="M1113" s="5"/>
      <c r="N1113" s="5"/>
      <c r="O1113" s="5"/>
      <c r="P1113" s="80"/>
      <c r="Q1113" s="5"/>
    </row>
    <row r="1114" spans="12:17" x14ac:dyDescent="0.3">
      <c r="L1114" s="5"/>
      <c r="M1114" s="5"/>
      <c r="N1114" s="5"/>
      <c r="O1114" s="5"/>
      <c r="P1114" s="80"/>
      <c r="Q1114" s="5"/>
    </row>
    <row r="1115" spans="12:17" x14ac:dyDescent="0.3">
      <c r="L1115" s="5"/>
      <c r="M1115" s="5"/>
      <c r="N1115" s="5"/>
      <c r="O1115" s="5"/>
      <c r="P1115" s="80"/>
      <c r="Q1115" s="5"/>
    </row>
    <row r="1116" spans="12:17" x14ac:dyDescent="0.3">
      <c r="L1116" s="5"/>
      <c r="M1116" s="5"/>
      <c r="N1116" s="5"/>
      <c r="O1116" s="5"/>
      <c r="P1116" s="80"/>
      <c r="Q1116" s="5"/>
    </row>
    <row r="1117" spans="12:17" x14ac:dyDescent="0.3">
      <c r="L1117" s="5"/>
      <c r="M1117" s="5"/>
      <c r="N1117" s="5"/>
      <c r="O1117" s="5"/>
      <c r="P1117" s="80"/>
      <c r="Q1117" s="5"/>
    </row>
    <row r="1118" spans="12:17" x14ac:dyDescent="0.3">
      <c r="L1118" s="5"/>
      <c r="M1118" s="5"/>
      <c r="N1118" s="5"/>
      <c r="O1118" s="5"/>
      <c r="P1118" s="80"/>
      <c r="Q1118" s="5"/>
    </row>
    <row r="1119" spans="12:17" x14ac:dyDescent="0.3">
      <c r="L1119" s="5"/>
      <c r="M1119" s="5"/>
      <c r="N1119" s="5"/>
      <c r="O1119" s="5"/>
      <c r="P1119" s="80"/>
      <c r="Q1119" s="5"/>
    </row>
    <row r="1120" spans="12:17" x14ac:dyDescent="0.3">
      <c r="L1120" s="5"/>
      <c r="M1120" s="5"/>
      <c r="N1120" s="5"/>
      <c r="O1120" s="5"/>
      <c r="P1120" s="80"/>
      <c r="Q1120" s="5"/>
    </row>
    <row r="1121" spans="12:17" x14ac:dyDescent="0.3">
      <c r="L1121" s="5"/>
      <c r="M1121" s="5"/>
      <c r="N1121" s="5"/>
      <c r="O1121" s="5"/>
      <c r="P1121" s="80"/>
      <c r="Q1121" s="5"/>
    </row>
    <row r="1122" spans="12:17" x14ac:dyDescent="0.3">
      <c r="L1122" s="5"/>
      <c r="M1122" s="5"/>
      <c r="N1122" s="5"/>
      <c r="O1122" s="5"/>
      <c r="P1122" s="80"/>
      <c r="Q1122" s="5"/>
    </row>
    <row r="1123" spans="12:17" x14ac:dyDescent="0.3">
      <c r="L1123" s="5"/>
      <c r="M1123" s="5"/>
      <c r="N1123" s="5"/>
      <c r="O1123" s="5"/>
      <c r="P1123" s="80"/>
      <c r="Q1123" s="5"/>
    </row>
    <row r="1124" spans="12:17" x14ac:dyDescent="0.3">
      <c r="L1124" s="5"/>
      <c r="M1124" s="5"/>
      <c r="N1124" s="5"/>
      <c r="O1124" s="5"/>
      <c r="P1124" s="80"/>
      <c r="Q1124" s="5"/>
    </row>
    <row r="1125" spans="12:17" x14ac:dyDescent="0.3">
      <c r="L1125" s="5"/>
      <c r="M1125" s="5"/>
      <c r="N1125" s="5"/>
      <c r="O1125" s="5"/>
      <c r="P1125" s="80"/>
      <c r="Q1125" s="5"/>
    </row>
    <row r="1126" spans="12:17" x14ac:dyDescent="0.3">
      <c r="L1126" s="5"/>
      <c r="M1126" s="5"/>
      <c r="N1126" s="5"/>
      <c r="O1126" s="5"/>
      <c r="P1126" s="80"/>
      <c r="Q1126" s="5"/>
    </row>
    <row r="1127" spans="12:17" x14ac:dyDescent="0.3">
      <c r="L1127" s="5"/>
      <c r="M1127" s="5"/>
      <c r="N1127" s="5"/>
      <c r="O1127" s="5"/>
      <c r="P1127" s="80"/>
      <c r="Q1127" s="5"/>
    </row>
    <row r="1128" spans="12:17" x14ac:dyDescent="0.3">
      <c r="L1128" s="5"/>
      <c r="M1128" s="5"/>
      <c r="N1128" s="5"/>
      <c r="O1128" s="5"/>
      <c r="P1128" s="80"/>
      <c r="Q1128" s="5"/>
    </row>
    <row r="1129" spans="12:17" x14ac:dyDescent="0.3">
      <c r="L1129" s="5"/>
      <c r="M1129" s="5"/>
      <c r="N1129" s="5"/>
      <c r="O1129" s="5"/>
      <c r="P1129" s="80"/>
      <c r="Q1129" s="5"/>
    </row>
    <row r="1130" spans="12:17" x14ac:dyDescent="0.3">
      <c r="L1130" s="5"/>
      <c r="M1130" s="5"/>
      <c r="N1130" s="5"/>
      <c r="O1130" s="5"/>
      <c r="P1130" s="80"/>
      <c r="Q1130" s="5"/>
    </row>
    <row r="1131" spans="12:17" x14ac:dyDescent="0.3">
      <c r="L1131" s="5"/>
      <c r="M1131" s="5"/>
      <c r="N1131" s="5"/>
      <c r="O1131" s="5"/>
      <c r="P1131" s="80"/>
      <c r="Q1131" s="5"/>
    </row>
    <row r="1132" spans="12:17" x14ac:dyDescent="0.3">
      <c r="L1132" s="5"/>
      <c r="M1132" s="5"/>
      <c r="N1132" s="5"/>
      <c r="O1132" s="5"/>
      <c r="P1132" s="80"/>
      <c r="Q1132" s="5"/>
    </row>
    <row r="1133" spans="12:17" x14ac:dyDescent="0.3">
      <c r="L1133" s="5"/>
      <c r="M1133" s="5"/>
      <c r="N1133" s="5"/>
      <c r="O1133" s="5"/>
      <c r="P1133" s="80"/>
      <c r="Q1133" s="5"/>
    </row>
    <row r="1134" spans="12:17" x14ac:dyDescent="0.3">
      <c r="L1134" s="5"/>
      <c r="M1134" s="5"/>
      <c r="N1134" s="5"/>
      <c r="O1134" s="5"/>
      <c r="P1134" s="80"/>
      <c r="Q1134" s="5"/>
    </row>
    <row r="1135" spans="12:17" x14ac:dyDescent="0.3">
      <c r="L1135" s="5"/>
      <c r="M1135" s="5"/>
      <c r="N1135" s="5"/>
      <c r="O1135" s="5"/>
      <c r="P1135" s="80"/>
      <c r="Q1135" s="5"/>
    </row>
    <row r="1136" spans="12:17" x14ac:dyDescent="0.3">
      <c r="L1136" s="5"/>
      <c r="M1136" s="5"/>
      <c r="N1136" s="5"/>
      <c r="O1136" s="5"/>
      <c r="P1136" s="80"/>
      <c r="Q1136" s="5"/>
    </row>
    <row r="1137" spans="12:17" x14ac:dyDescent="0.3">
      <c r="L1137" s="5"/>
      <c r="M1137" s="5"/>
      <c r="N1137" s="5"/>
      <c r="O1137" s="5"/>
      <c r="P1137" s="80"/>
      <c r="Q1137" s="5"/>
    </row>
    <row r="1138" spans="12:17" x14ac:dyDescent="0.3">
      <c r="L1138" s="5"/>
      <c r="M1138" s="5"/>
      <c r="N1138" s="5"/>
      <c r="O1138" s="5"/>
      <c r="P1138" s="80"/>
      <c r="Q1138" s="5"/>
    </row>
    <row r="1139" spans="12:17" x14ac:dyDescent="0.3">
      <c r="L1139" s="5"/>
      <c r="M1139" s="5"/>
      <c r="N1139" s="5"/>
      <c r="O1139" s="5"/>
      <c r="P1139" s="80"/>
      <c r="Q1139" s="5"/>
    </row>
    <row r="1140" spans="12:17" x14ac:dyDescent="0.3">
      <c r="L1140" s="5"/>
      <c r="M1140" s="5"/>
      <c r="N1140" s="5"/>
      <c r="O1140" s="5"/>
      <c r="P1140" s="80"/>
      <c r="Q1140" s="5"/>
    </row>
    <row r="1141" spans="12:17" x14ac:dyDescent="0.3">
      <c r="L1141" s="5"/>
      <c r="M1141" s="5"/>
      <c r="N1141" s="5"/>
      <c r="O1141" s="5"/>
      <c r="P1141" s="80"/>
      <c r="Q1141" s="5"/>
    </row>
    <row r="1142" spans="12:17" x14ac:dyDescent="0.3">
      <c r="L1142" s="5"/>
      <c r="M1142" s="5"/>
      <c r="N1142" s="5"/>
      <c r="O1142" s="5"/>
      <c r="P1142" s="80"/>
      <c r="Q1142" s="5"/>
    </row>
    <row r="1143" spans="12:17" x14ac:dyDescent="0.3">
      <c r="L1143" s="5"/>
      <c r="M1143" s="5"/>
      <c r="N1143" s="5"/>
      <c r="O1143" s="5"/>
      <c r="P1143" s="80"/>
      <c r="Q1143" s="5"/>
    </row>
    <row r="1144" spans="12:17" x14ac:dyDescent="0.3">
      <c r="L1144" s="5"/>
      <c r="M1144" s="5"/>
      <c r="N1144" s="5"/>
      <c r="O1144" s="5"/>
      <c r="P1144" s="80"/>
      <c r="Q1144" s="5"/>
    </row>
    <row r="1145" spans="12:17" x14ac:dyDescent="0.3">
      <c r="L1145" s="5"/>
      <c r="M1145" s="5"/>
      <c r="N1145" s="5"/>
      <c r="O1145" s="5"/>
      <c r="P1145" s="80"/>
      <c r="Q1145" s="5"/>
    </row>
    <row r="1146" spans="12:17" x14ac:dyDescent="0.3">
      <c r="L1146" s="5"/>
      <c r="M1146" s="5"/>
      <c r="N1146" s="5"/>
      <c r="O1146" s="5"/>
      <c r="P1146" s="80"/>
      <c r="Q1146" s="5"/>
    </row>
    <row r="1147" spans="12:17" x14ac:dyDescent="0.3">
      <c r="L1147" s="5"/>
      <c r="M1147" s="5"/>
      <c r="N1147" s="5"/>
      <c r="O1147" s="5"/>
      <c r="P1147" s="80"/>
      <c r="Q1147" s="5"/>
    </row>
    <row r="1148" spans="12:17" x14ac:dyDescent="0.3">
      <c r="L1148" s="5"/>
      <c r="M1148" s="5"/>
      <c r="N1148" s="5"/>
      <c r="O1148" s="5"/>
      <c r="P1148" s="80"/>
      <c r="Q1148" s="5"/>
    </row>
    <row r="1149" spans="12:17" x14ac:dyDescent="0.3">
      <c r="L1149" s="5"/>
      <c r="M1149" s="5"/>
      <c r="N1149" s="5"/>
      <c r="O1149" s="5"/>
      <c r="P1149" s="80"/>
      <c r="Q1149" s="5"/>
    </row>
    <row r="1150" spans="12:17" x14ac:dyDescent="0.3">
      <c r="L1150" s="5"/>
      <c r="M1150" s="5"/>
      <c r="N1150" s="5"/>
      <c r="O1150" s="5"/>
      <c r="P1150" s="80"/>
      <c r="Q1150" s="5"/>
    </row>
    <row r="1151" spans="12:17" x14ac:dyDescent="0.3">
      <c r="L1151" s="5"/>
      <c r="M1151" s="5"/>
      <c r="N1151" s="5"/>
      <c r="O1151" s="5"/>
      <c r="P1151" s="80"/>
      <c r="Q1151" s="5"/>
    </row>
    <row r="1152" spans="12:17" x14ac:dyDescent="0.3">
      <c r="L1152" s="5"/>
      <c r="M1152" s="5"/>
      <c r="N1152" s="5"/>
      <c r="O1152" s="5"/>
      <c r="P1152" s="80"/>
      <c r="Q1152" s="5"/>
    </row>
    <row r="1153" spans="12:17" x14ac:dyDescent="0.3">
      <c r="L1153" s="5"/>
      <c r="M1153" s="5"/>
      <c r="N1153" s="5"/>
      <c r="O1153" s="5"/>
      <c r="P1153" s="80"/>
      <c r="Q1153" s="5"/>
    </row>
    <row r="1154" spans="12:17" x14ac:dyDescent="0.3">
      <c r="L1154" s="5"/>
      <c r="M1154" s="5"/>
      <c r="N1154" s="5"/>
      <c r="O1154" s="5"/>
      <c r="P1154" s="80"/>
      <c r="Q1154" s="5"/>
    </row>
    <row r="1155" spans="12:17" x14ac:dyDescent="0.3">
      <c r="L1155" s="5"/>
      <c r="M1155" s="5"/>
      <c r="N1155" s="5"/>
      <c r="O1155" s="5"/>
      <c r="P1155" s="80"/>
      <c r="Q1155" s="5"/>
    </row>
    <row r="1156" spans="12:17" x14ac:dyDescent="0.3">
      <c r="L1156" s="5"/>
      <c r="M1156" s="5"/>
      <c r="N1156" s="5"/>
      <c r="O1156" s="5"/>
      <c r="P1156" s="80"/>
      <c r="Q1156" s="5"/>
    </row>
    <row r="1157" spans="12:17" x14ac:dyDescent="0.3">
      <c r="L1157" s="5"/>
      <c r="M1157" s="5"/>
      <c r="N1157" s="5"/>
      <c r="O1157" s="5"/>
      <c r="P1157" s="80"/>
      <c r="Q1157" s="5"/>
    </row>
    <row r="1158" spans="12:17" x14ac:dyDescent="0.3">
      <c r="L1158" s="5"/>
      <c r="M1158" s="5"/>
      <c r="N1158" s="5"/>
      <c r="O1158" s="5"/>
      <c r="P1158" s="80"/>
      <c r="Q1158" s="5"/>
    </row>
    <row r="1159" spans="12:17" x14ac:dyDescent="0.3">
      <c r="L1159" s="5"/>
      <c r="M1159" s="5"/>
      <c r="N1159" s="5"/>
      <c r="O1159" s="5"/>
      <c r="P1159" s="80"/>
      <c r="Q1159" s="5"/>
    </row>
    <row r="1160" spans="12:17" x14ac:dyDescent="0.3">
      <c r="L1160" s="5"/>
      <c r="M1160" s="5"/>
      <c r="N1160" s="5"/>
      <c r="O1160" s="5"/>
      <c r="P1160" s="80"/>
      <c r="Q1160" s="5"/>
    </row>
    <row r="1161" spans="12:17" x14ac:dyDescent="0.3">
      <c r="L1161" s="5"/>
      <c r="M1161" s="5"/>
      <c r="N1161" s="5"/>
      <c r="O1161" s="5"/>
      <c r="P1161" s="80"/>
      <c r="Q1161" s="5"/>
    </row>
    <row r="1162" spans="12:17" x14ac:dyDescent="0.3">
      <c r="L1162" s="5"/>
      <c r="M1162" s="5"/>
      <c r="N1162" s="5"/>
      <c r="O1162" s="5"/>
      <c r="P1162" s="80"/>
      <c r="Q1162" s="5"/>
    </row>
    <row r="1163" spans="12:17" x14ac:dyDescent="0.3">
      <c r="L1163" s="5"/>
      <c r="M1163" s="5"/>
      <c r="N1163" s="5"/>
      <c r="O1163" s="5"/>
      <c r="P1163" s="80"/>
      <c r="Q1163" s="5"/>
    </row>
    <row r="1164" spans="12:17" x14ac:dyDescent="0.3">
      <c r="L1164" s="5"/>
      <c r="M1164" s="5"/>
      <c r="N1164" s="5"/>
      <c r="O1164" s="5"/>
      <c r="P1164" s="80"/>
      <c r="Q1164" s="5"/>
    </row>
    <row r="1165" spans="12:17" x14ac:dyDescent="0.3">
      <c r="L1165" s="5"/>
      <c r="M1165" s="5"/>
      <c r="N1165" s="5"/>
      <c r="O1165" s="5"/>
      <c r="P1165" s="80"/>
      <c r="Q1165" s="5"/>
    </row>
    <row r="1166" spans="12:17" x14ac:dyDescent="0.3">
      <c r="L1166" s="5"/>
      <c r="M1166" s="5"/>
      <c r="N1166" s="5"/>
      <c r="O1166" s="5"/>
      <c r="P1166" s="80"/>
      <c r="Q1166" s="5"/>
    </row>
    <row r="1167" spans="12:17" x14ac:dyDescent="0.3">
      <c r="L1167" s="5"/>
      <c r="M1167" s="5"/>
      <c r="N1167" s="5"/>
      <c r="O1167" s="5"/>
      <c r="P1167" s="80"/>
      <c r="Q1167" s="5"/>
    </row>
    <row r="1168" spans="12:17" x14ac:dyDescent="0.3">
      <c r="L1168" s="5"/>
      <c r="M1168" s="5"/>
      <c r="N1168" s="5"/>
      <c r="O1168" s="5"/>
      <c r="P1168" s="80"/>
      <c r="Q1168" s="5"/>
    </row>
    <row r="1169" spans="12:17" x14ac:dyDescent="0.3">
      <c r="L1169" s="5"/>
      <c r="M1169" s="5"/>
      <c r="N1169" s="5"/>
      <c r="O1169" s="5"/>
      <c r="P1169" s="80"/>
      <c r="Q1169" s="5"/>
    </row>
    <row r="1170" spans="12:17" x14ac:dyDescent="0.3">
      <c r="L1170" s="5"/>
      <c r="M1170" s="5"/>
      <c r="N1170" s="5"/>
      <c r="O1170" s="5"/>
      <c r="P1170" s="80"/>
      <c r="Q1170" s="5"/>
    </row>
    <row r="1171" spans="12:17" x14ac:dyDescent="0.3">
      <c r="L1171" s="5"/>
      <c r="M1171" s="5"/>
      <c r="N1171" s="5"/>
      <c r="O1171" s="5"/>
      <c r="P1171" s="80"/>
      <c r="Q1171" s="5"/>
    </row>
    <row r="1172" spans="12:17" x14ac:dyDescent="0.3">
      <c r="L1172" s="5"/>
      <c r="M1172" s="5"/>
      <c r="N1172" s="5"/>
      <c r="O1172" s="5"/>
      <c r="P1172" s="80"/>
      <c r="Q1172" s="5"/>
    </row>
    <row r="1173" spans="12:17" x14ac:dyDescent="0.3">
      <c r="L1173" s="5"/>
      <c r="M1173" s="5"/>
      <c r="N1173" s="5"/>
      <c r="O1173" s="5"/>
      <c r="P1173" s="80"/>
      <c r="Q1173" s="5"/>
    </row>
    <row r="1174" spans="12:17" x14ac:dyDescent="0.3">
      <c r="L1174" s="5"/>
      <c r="M1174" s="5"/>
      <c r="N1174" s="5"/>
      <c r="O1174" s="5"/>
      <c r="P1174" s="80"/>
      <c r="Q1174" s="5"/>
    </row>
    <row r="1175" spans="12:17" x14ac:dyDescent="0.3">
      <c r="L1175" s="5"/>
      <c r="M1175" s="5"/>
      <c r="N1175" s="5"/>
      <c r="O1175" s="5"/>
      <c r="P1175" s="80"/>
      <c r="Q1175" s="5"/>
    </row>
    <row r="1176" spans="12:17" x14ac:dyDescent="0.3">
      <c r="L1176" s="5"/>
      <c r="M1176" s="5"/>
      <c r="N1176" s="5"/>
      <c r="O1176" s="5"/>
      <c r="P1176" s="80"/>
      <c r="Q1176" s="5"/>
    </row>
    <row r="1177" spans="12:17" x14ac:dyDescent="0.3">
      <c r="L1177" s="5"/>
      <c r="M1177" s="5"/>
      <c r="N1177" s="5"/>
      <c r="O1177" s="5"/>
      <c r="P1177" s="80"/>
      <c r="Q1177" s="5"/>
    </row>
    <row r="1178" spans="12:17" x14ac:dyDescent="0.3">
      <c r="L1178" s="5"/>
      <c r="M1178" s="5"/>
      <c r="N1178" s="5"/>
      <c r="O1178" s="5"/>
      <c r="P1178" s="80"/>
      <c r="Q1178" s="5"/>
    </row>
    <row r="1179" spans="12:17" x14ac:dyDescent="0.3">
      <c r="L1179" s="5"/>
      <c r="M1179" s="5"/>
      <c r="N1179" s="5"/>
      <c r="O1179" s="5"/>
      <c r="P1179" s="80"/>
      <c r="Q1179" s="5"/>
    </row>
    <row r="1180" spans="12:17" x14ac:dyDescent="0.3">
      <c r="L1180" s="5"/>
      <c r="M1180" s="5"/>
      <c r="N1180" s="5"/>
      <c r="O1180" s="5"/>
      <c r="P1180" s="80"/>
      <c r="Q1180" s="5"/>
    </row>
    <row r="1181" spans="12:17" x14ac:dyDescent="0.3">
      <c r="L1181" s="5"/>
      <c r="M1181" s="5"/>
      <c r="N1181" s="5"/>
      <c r="O1181" s="5"/>
      <c r="P1181" s="80"/>
      <c r="Q1181" s="5"/>
    </row>
    <row r="1182" spans="12:17" x14ac:dyDescent="0.3">
      <c r="L1182" s="5"/>
      <c r="M1182" s="5"/>
      <c r="N1182" s="5"/>
      <c r="O1182" s="5"/>
      <c r="P1182" s="80"/>
      <c r="Q1182" s="5"/>
    </row>
    <row r="1183" spans="12:17" x14ac:dyDescent="0.3">
      <c r="L1183" s="5"/>
      <c r="M1183" s="5"/>
      <c r="N1183" s="5"/>
      <c r="O1183" s="5"/>
      <c r="P1183" s="80"/>
      <c r="Q1183" s="5"/>
    </row>
    <row r="1184" spans="12:17" x14ac:dyDescent="0.3">
      <c r="L1184" s="5"/>
      <c r="M1184" s="5"/>
      <c r="N1184" s="5"/>
      <c r="O1184" s="5"/>
      <c r="P1184" s="80"/>
      <c r="Q1184" s="5"/>
    </row>
    <row r="1185" spans="12:17" x14ac:dyDescent="0.3">
      <c r="L1185" s="5"/>
      <c r="M1185" s="5"/>
      <c r="N1185" s="5"/>
      <c r="O1185" s="5"/>
      <c r="P1185" s="80"/>
      <c r="Q1185" s="5"/>
    </row>
    <row r="1186" spans="12:17" x14ac:dyDescent="0.3">
      <c r="L1186" s="5"/>
      <c r="M1186" s="5"/>
      <c r="N1186" s="5"/>
      <c r="O1186" s="5"/>
      <c r="P1186" s="80"/>
      <c r="Q1186" s="5"/>
    </row>
    <row r="1187" spans="12:17" x14ac:dyDescent="0.3">
      <c r="L1187" s="5"/>
      <c r="M1187" s="5"/>
      <c r="N1187" s="5"/>
      <c r="O1187" s="5"/>
      <c r="P1187" s="80"/>
      <c r="Q1187" s="5"/>
    </row>
    <row r="1188" spans="12:17" x14ac:dyDescent="0.3">
      <c r="L1188" s="5"/>
      <c r="M1188" s="5"/>
      <c r="N1188" s="5"/>
      <c r="O1188" s="5"/>
      <c r="P1188" s="80"/>
      <c r="Q1188" s="5"/>
    </row>
    <row r="1189" spans="12:17" x14ac:dyDescent="0.3">
      <c r="L1189" s="5"/>
      <c r="M1189" s="5"/>
      <c r="N1189" s="5"/>
      <c r="O1189" s="5"/>
      <c r="P1189" s="80"/>
      <c r="Q1189" s="5"/>
    </row>
    <row r="1190" spans="12:17" x14ac:dyDescent="0.3">
      <c r="L1190" s="5"/>
      <c r="M1190" s="5"/>
      <c r="N1190" s="5"/>
      <c r="O1190" s="5"/>
      <c r="P1190" s="80"/>
      <c r="Q1190" s="5"/>
    </row>
    <row r="1191" spans="12:17" x14ac:dyDescent="0.3">
      <c r="L1191" s="5"/>
      <c r="M1191" s="5"/>
      <c r="N1191" s="5"/>
      <c r="O1191" s="5"/>
      <c r="P1191" s="80"/>
      <c r="Q1191" s="5"/>
    </row>
    <row r="1192" spans="12:17" x14ac:dyDescent="0.3">
      <c r="L1192" s="5"/>
      <c r="M1192" s="5"/>
      <c r="N1192" s="5"/>
      <c r="O1192" s="5"/>
      <c r="P1192" s="80"/>
      <c r="Q1192" s="5"/>
    </row>
    <row r="1193" spans="12:17" x14ac:dyDescent="0.3">
      <c r="L1193" s="5"/>
      <c r="M1193" s="5"/>
      <c r="N1193" s="5"/>
      <c r="O1193" s="5"/>
      <c r="P1193" s="80"/>
      <c r="Q1193" s="5"/>
    </row>
  </sheetData>
  <sheetProtection algorithmName="SHA-512" hashValue="DGwA+rmwJFfr4DC8NPx5oEJEaF1SoaJZlBsx+TOt5KOYci9i8P6JJmyOUgIaovQ3jZcnXKYK8x5R5GyaG4qMwg==" saltValue="4gIBrFE6w+rRp0z1R/YLEw==" spinCount="100000" sheet="1" selectLockedCells="1"/>
  <mergeCells count="21">
    <mergeCell ref="H1:H3"/>
    <mergeCell ref="D58:F58"/>
    <mergeCell ref="C2:C3"/>
    <mergeCell ref="D2:D3"/>
    <mergeCell ref="F2:F3"/>
    <mergeCell ref="E2:E3"/>
    <mergeCell ref="G2:G3"/>
    <mergeCell ref="D1:F1"/>
    <mergeCell ref="I1:J3"/>
    <mergeCell ref="Q2:Q3"/>
    <mergeCell ref="R2:R3"/>
    <mergeCell ref="L2:L3"/>
    <mergeCell ref="K2:K3"/>
    <mergeCell ref="K1:L1"/>
    <mergeCell ref="M1:N1"/>
    <mergeCell ref="P2:P3"/>
    <mergeCell ref="M2:M3"/>
    <mergeCell ref="N2:N3"/>
    <mergeCell ref="O2:O3"/>
    <mergeCell ref="R1:S1"/>
    <mergeCell ref="S2:S3"/>
  </mergeCells>
  <printOptions horizontalCentered="1"/>
  <pageMargins left="0.23622047244094491" right="0.23622047244094491" top="0.74803149606299213" bottom="0" header="0.31496062992125984" footer="0.15748031496062992"/>
  <pageSetup paperSize="9" scale="60" orientation="landscape" r:id="rId1"/>
  <ignoredErrors>
    <ignoredError sqref="R7:S8 R34:S34 K7:L8 K10:L10 R10:S10 K15 R15 K17:L17 R17:S17 K34:L34 K39:L45 R38:S45 K48:L48 R48:S48 S50 K14 K3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175260</xdr:colOff>
                    <xdr:row>2</xdr:row>
                    <xdr:rowOff>175260</xdr:rowOff>
                  </from>
                  <to>
                    <xdr:col>3</xdr:col>
                    <xdr:colOff>441960</xdr:colOff>
                    <xdr:row>4</xdr:row>
                    <xdr:rowOff>22860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3</xdr:col>
                    <xdr:colOff>175260</xdr:colOff>
                    <xdr:row>4</xdr:row>
                    <xdr:rowOff>7620</xdr:rowOff>
                  </from>
                  <to>
                    <xdr:col>3</xdr:col>
                    <xdr:colOff>373380</xdr:colOff>
                    <xdr:row>4</xdr:row>
                    <xdr:rowOff>175260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175260</xdr:colOff>
                    <xdr:row>4</xdr:row>
                    <xdr:rowOff>175260</xdr:rowOff>
                  </from>
                  <to>
                    <xdr:col>3</xdr:col>
                    <xdr:colOff>350520</xdr:colOff>
                    <xdr:row>5</xdr:row>
                    <xdr:rowOff>175260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3</xdr:col>
                    <xdr:colOff>175260</xdr:colOff>
                    <xdr:row>6</xdr:row>
                    <xdr:rowOff>175260</xdr:rowOff>
                  </from>
                  <to>
                    <xdr:col>3</xdr:col>
                    <xdr:colOff>350520</xdr:colOff>
                    <xdr:row>7</xdr:row>
                    <xdr:rowOff>175260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3</xdr:col>
                    <xdr:colOff>175260</xdr:colOff>
                    <xdr:row>5</xdr:row>
                    <xdr:rowOff>175260</xdr:rowOff>
                  </from>
                  <to>
                    <xdr:col>3</xdr:col>
                    <xdr:colOff>373380</xdr:colOff>
                    <xdr:row>6</xdr:row>
                    <xdr:rowOff>175260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3</xdr:col>
                    <xdr:colOff>175260</xdr:colOff>
                    <xdr:row>7</xdr:row>
                    <xdr:rowOff>175260</xdr:rowOff>
                  </from>
                  <to>
                    <xdr:col>3</xdr:col>
                    <xdr:colOff>350520</xdr:colOff>
                    <xdr:row>8</xdr:row>
                    <xdr:rowOff>175260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3</xdr:col>
                    <xdr:colOff>175260</xdr:colOff>
                    <xdr:row>9</xdr:row>
                    <xdr:rowOff>175260</xdr:rowOff>
                  </from>
                  <to>
                    <xdr:col>3</xdr:col>
                    <xdr:colOff>403860</xdr:colOff>
                    <xdr:row>11</xdr:row>
                    <xdr:rowOff>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175260</xdr:colOff>
                    <xdr:row>10</xdr:row>
                    <xdr:rowOff>175260</xdr:rowOff>
                  </from>
                  <to>
                    <xdr:col>3</xdr:col>
                    <xdr:colOff>350520</xdr:colOff>
                    <xdr:row>11</xdr:row>
                    <xdr:rowOff>175260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175260</xdr:colOff>
                    <xdr:row>11</xdr:row>
                    <xdr:rowOff>175260</xdr:rowOff>
                  </from>
                  <to>
                    <xdr:col>3</xdr:col>
                    <xdr:colOff>350520</xdr:colOff>
                    <xdr:row>12</xdr:row>
                    <xdr:rowOff>175260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3</xdr:col>
                    <xdr:colOff>175260</xdr:colOff>
                    <xdr:row>12</xdr:row>
                    <xdr:rowOff>182880</xdr:rowOff>
                  </from>
                  <to>
                    <xdr:col>3</xdr:col>
                    <xdr:colOff>350520</xdr:colOff>
                    <xdr:row>14</xdr:row>
                    <xdr:rowOff>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3</xdr:col>
                    <xdr:colOff>175260</xdr:colOff>
                    <xdr:row>13</xdr:row>
                    <xdr:rowOff>175260</xdr:rowOff>
                  </from>
                  <to>
                    <xdr:col>3</xdr:col>
                    <xdr:colOff>350520</xdr:colOff>
                    <xdr:row>14</xdr:row>
                    <xdr:rowOff>175260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3</xdr:col>
                    <xdr:colOff>175260</xdr:colOff>
                    <xdr:row>14</xdr:row>
                    <xdr:rowOff>175260</xdr:rowOff>
                  </from>
                  <to>
                    <xdr:col>3</xdr:col>
                    <xdr:colOff>365760</xdr:colOff>
                    <xdr:row>15</xdr:row>
                    <xdr:rowOff>175260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3</xdr:col>
                    <xdr:colOff>175260</xdr:colOff>
                    <xdr:row>17</xdr:row>
                    <xdr:rowOff>0</xdr:rowOff>
                  </from>
                  <to>
                    <xdr:col>3</xdr:col>
                    <xdr:colOff>350520</xdr:colOff>
                    <xdr:row>18</xdr:row>
                    <xdr:rowOff>0</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3</xdr:col>
                    <xdr:colOff>175260</xdr:colOff>
                    <xdr:row>17</xdr:row>
                    <xdr:rowOff>175260</xdr:rowOff>
                  </from>
                  <to>
                    <xdr:col>3</xdr:col>
                    <xdr:colOff>350520</xdr:colOff>
                    <xdr:row>18</xdr:row>
                    <xdr:rowOff>175260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175260</xdr:colOff>
                    <xdr:row>19</xdr:row>
                    <xdr:rowOff>182880</xdr:rowOff>
                  </from>
                  <to>
                    <xdr:col>3</xdr:col>
                    <xdr:colOff>350520</xdr:colOff>
                    <xdr:row>21</xdr:row>
                    <xdr:rowOff>0</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3</xdr:col>
                    <xdr:colOff>175260</xdr:colOff>
                    <xdr:row>20</xdr:row>
                    <xdr:rowOff>182880</xdr:rowOff>
                  </from>
                  <to>
                    <xdr:col>3</xdr:col>
                    <xdr:colOff>350520</xdr:colOff>
                    <xdr:row>22</xdr:row>
                    <xdr:rowOff>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3</xdr:col>
                    <xdr:colOff>175260</xdr:colOff>
                    <xdr:row>22</xdr:row>
                    <xdr:rowOff>7620</xdr:rowOff>
                  </from>
                  <to>
                    <xdr:col>3</xdr:col>
                    <xdr:colOff>350520</xdr:colOff>
                    <xdr:row>23</xdr:row>
                    <xdr:rowOff>7620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3</xdr:col>
                    <xdr:colOff>175260</xdr:colOff>
                    <xdr:row>22</xdr:row>
                    <xdr:rowOff>182880</xdr:rowOff>
                  </from>
                  <to>
                    <xdr:col>3</xdr:col>
                    <xdr:colOff>350520</xdr:colOff>
                    <xdr:row>24</xdr:row>
                    <xdr:rowOff>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3</xdr:col>
                    <xdr:colOff>175260</xdr:colOff>
                    <xdr:row>24</xdr:row>
                    <xdr:rowOff>7620</xdr:rowOff>
                  </from>
                  <to>
                    <xdr:col>3</xdr:col>
                    <xdr:colOff>350520</xdr:colOff>
                    <xdr:row>25</xdr:row>
                    <xdr:rowOff>7620</xdr:rowOff>
                  </to>
                </anchor>
              </controlPr>
            </control>
          </mc:Choice>
        </mc:AlternateContent>
        <mc:AlternateContent xmlns:mc="http://schemas.openxmlformats.org/markup-compatibility/2006">
          <mc:Choice Requires="x14">
            <control shapeId="1060" r:id="rId23" name="Check Box 36">
              <controlPr defaultSize="0" autoFill="0" autoLine="0" autoPict="0">
                <anchor moveWithCells="1">
                  <from>
                    <xdr:col>3</xdr:col>
                    <xdr:colOff>175260</xdr:colOff>
                    <xdr:row>24</xdr:row>
                    <xdr:rowOff>175260</xdr:rowOff>
                  </from>
                  <to>
                    <xdr:col>3</xdr:col>
                    <xdr:colOff>350520</xdr:colOff>
                    <xdr:row>25</xdr:row>
                    <xdr:rowOff>175260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3</xdr:col>
                    <xdr:colOff>175260</xdr:colOff>
                    <xdr:row>25</xdr:row>
                    <xdr:rowOff>175260</xdr:rowOff>
                  </from>
                  <to>
                    <xdr:col>3</xdr:col>
                    <xdr:colOff>365760</xdr:colOff>
                    <xdr:row>26</xdr:row>
                    <xdr:rowOff>175260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3</xdr:col>
                    <xdr:colOff>175260</xdr:colOff>
                    <xdr:row>26</xdr:row>
                    <xdr:rowOff>182880</xdr:rowOff>
                  </from>
                  <to>
                    <xdr:col>3</xdr:col>
                    <xdr:colOff>350520</xdr:colOff>
                    <xdr:row>28</xdr:row>
                    <xdr:rowOff>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3</xdr:col>
                    <xdr:colOff>175260</xdr:colOff>
                    <xdr:row>27</xdr:row>
                    <xdr:rowOff>175260</xdr:rowOff>
                  </from>
                  <to>
                    <xdr:col>3</xdr:col>
                    <xdr:colOff>350520</xdr:colOff>
                    <xdr:row>28</xdr:row>
                    <xdr:rowOff>175260</xdr:rowOff>
                  </to>
                </anchor>
              </controlPr>
            </control>
          </mc:Choice>
        </mc:AlternateContent>
        <mc:AlternateContent xmlns:mc="http://schemas.openxmlformats.org/markup-compatibility/2006">
          <mc:Choice Requires="x14">
            <control shapeId="1067" r:id="rId27" name="Check Box 43">
              <controlPr defaultSize="0" autoFill="0" autoLine="0" autoPict="0">
                <anchor moveWithCells="1">
                  <from>
                    <xdr:col>3</xdr:col>
                    <xdr:colOff>175260</xdr:colOff>
                    <xdr:row>28</xdr:row>
                    <xdr:rowOff>175260</xdr:rowOff>
                  </from>
                  <to>
                    <xdr:col>3</xdr:col>
                    <xdr:colOff>350520</xdr:colOff>
                    <xdr:row>29</xdr:row>
                    <xdr:rowOff>175260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from>
                    <xdr:col>3</xdr:col>
                    <xdr:colOff>175260</xdr:colOff>
                    <xdr:row>34</xdr:row>
                    <xdr:rowOff>175260</xdr:rowOff>
                  </from>
                  <to>
                    <xdr:col>3</xdr:col>
                    <xdr:colOff>350520</xdr:colOff>
                    <xdr:row>35</xdr:row>
                    <xdr:rowOff>175260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from>
                    <xdr:col>3</xdr:col>
                    <xdr:colOff>175260</xdr:colOff>
                    <xdr:row>35</xdr:row>
                    <xdr:rowOff>175260</xdr:rowOff>
                  </from>
                  <to>
                    <xdr:col>3</xdr:col>
                    <xdr:colOff>350520</xdr:colOff>
                    <xdr:row>36</xdr:row>
                    <xdr:rowOff>175260</xdr:rowOff>
                  </to>
                </anchor>
              </controlPr>
            </control>
          </mc:Choice>
        </mc:AlternateContent>
        <mc:AlternateContent xmlns:mc="http://schemas.openxmlformats.org/markup-compatibility/2006">
          <mc:Choice Requires="x14">
            <control shapeId="1077" r:id="rId30" name="Check Box 53">
              <controlPr defaultSize="0" autoFill="0" autoLine="0" autoPict="0">
                <anchor moveWithCells="1">
                  <from>
                    <xdr:col>3</xdr:col>
                    <xdr:colOff>175260</xdr:colOff>
                    <xdr:row>37</xdr:row>
                    <xdr:rowOff>0</xdr:rowOff>
                  </from>
                  <to>
                    <xdr:col>3</xdr:col>
                    <xdr:colOff>350520</xdr:colOff>
                    <xdr:row>38</xdr:row>
                    <xdr:rowOff>0</xdr:rowOff>
                  </to>
                </anchor>
              </controlPr>
            </control>
          </mc:Choice>
        </mc:AlternateContent>
        <mc:AlternateContent xmlns:mc="http://schemas.openxmlformats.org/markup-compatibility/2006">
          <mc:Choice Requires="x14">
            <control shapeId="1079" r:id="rId31" name="Check Box 55">
              <controlPr defaultSize="0" autoFill="0" autoLine="0" autoPict="0">
                <anchor moveWithCells="1">
                  <from>
                    <xdr:col>3</xdr:col>
                    <xdr:colOff>175260</xdr:colOff>
                    <xdr:row>38</xdr:row>
                    <xdr:rowOff>175260</xdr:rowOff>
                  </from>
                  <to>
                    <xdr:col>3</xdr:col>
                    <xdr:colOff>350520</xdr:colOff>
                    <xdr:row>40</xdr:row>
                    <xdr:rowOff>0</xdr:rowOff>
                  </to>
                </anchor>
              </controlPr>
            </control>
          </mc:Choice>
        </mc:AlternateContent>
        <mc:AlternateContent xmlns:mc="http://schemas.openxmlformats.org/markup-compatibility/2006">
          <mc:Choice Requires="x14">
            <control shapeId="1080" r:id="rId32" name="Check Box 56">
              <controlPr defaultSize="0" autoFill="0" autoLine="0" autoPict="0">
                <anchor moveWithCells="1">
                  <from>
                    <xdr:col>3</xdr:col>
                    <xdr:colOff>175260</xdr:colOff>
                    <xdr:row>39</xdr:row>
                    <xdr:rowOff>175260</xdr:rowOff>
                  </from>
                  <to>
                    <xdr:col>3</xdr:col>
                    <xdr:colOff>350520</xdr:colOff>
                    <xdr:row>40</xdr:row>
                    <xdr:rowOff>175260</xdr:rowOff>
                  </to>
                </anchor>
              </controlPr>
            </control>
          </mc:Choice>
        </mc:AlternateContent>
        <mc:AlternateContent xmlns:mc="http://schemas.openxmlformats.org/markup-compatibility/2006">
          <mc:Choice Requires="x14">
            <control shapeId="1081" r:id="rId33" name="Check Box 57">
              <controlPr defaultSize="0" autoFill="0" autoLine="0" autoPict="0">
                <anchor moveWithCells="1">
                  <from>
                    <xdr:col>3</xdr:col>
                    <xdr:colOff>175260</xdr:colOff>
                    <xdr:row>41</xdr:row>
                    <xdr:rowOff>7620</xdr:rowOff>
                  </from>
                  <to>
                    <xdr:col>3</xdr:col>
                    <xdr:colOff>350520</xdr:colOff>
                    <xdr:row>42</xdr:row>
                    <xdr:rowOff>7620</xdr:rowOff>
                  </to>
                </anchor>
              </controlPr>
            </control>
          </mc:Choice>
        </mc:AlternateContent>
        <mc:AlternateContent xmlns:mc="http://schemas.openxmlformats.org/markup-compatibility/2006">
          <mc:Choice Requires="x14">
            <control shapeId="1082" r:id="rId34" name="Check Box 58">
              <controlPr defaultSize="0" autoFill="0" autoLine="0" autoPict="0">
                <anchor moveWithCells="1">
                  <from>
                    <xdr:col>3</xdr:col>
                    <xdr:colOff>175260</xdr:colOff>
                    <xdr:row>42</xdr:row>
                    <xdr:rowOff>0</xdr:rowOff>
                  </from>
                  <to>
                    <xdr:col>3</xdr:col>
                    <xdr:colOff>350520</xdr:colOff>
                    <xdr:row>43</xdr:row>
                    <xdr:rowOff>0</xdr:rowOff>
                  </to>
                </anchor>
              </controlPr>
            </control>
          </mc:Choice>
        </mc:AlternateContent>
        <mc:AlternateContent xmlns:mc="http://schemas.openxmlformats.org/markup-compatibility/2006">
          <mc:Choice Requires="x14">
            <control shapeId="1083" r:id="rId35" name="Check Box 59">
              <controlPr defaultSize="0" autoFill="0" autoLine="0" autoPict="0">
                <anchor moveWithCells="1">
                  <from>
                    <xdr:col>3</xdr:col>
                    <xdr:colOff>175260</xdr:colOff>
                    <xdr:row>42</xdr:row>
                    <xdr:rowOff>175260</xdr:rowOff>
                  </from>
                  <to>
                    <xdr:col>3</xdr:col>
                    <xdr:colOff>350520</xdr:colOff>
                    <xdr:row>43</xdr:row>
                    <xdr:rowOff>175260</xdr:rowOff>
                  </to>
                </anchor>
              </controlPr>
            </control>
          </mc:Choice>
        </mc:AlternateContent>
        <mc:AlternateContent xmlns:mc="http://schemas.openxmlformats.org/markup-compatibility/2006">
          <mc:Choice Requires="x14">
            <control shapeId="1084" r:id="rId36" name="Check Box 60">
              <controlPr defaultSize="0" autoFill="0" autoLine="0" autoPict="0">
                <anchor moveWithCells="1">
                  <from>
                    <xdr:col>3</xdr:col>
                    <xdr:colOff>175260</xdr:colOff>
                    <xdr:row>44</xdr:row>
                    <xdr:rowOff>175260</xdr:rowOff>
                  </from>
                  <to>
                    <xdr:col>3</xdr:col>
                    <xdr:colOff>350520</xdr:colOff>
                    <xdr:row>46</xdr:row>
                    <xdr:rowOff>0</xdr:rowOff>
                  </to>
                </anchor>
              </controlPr>
            </control>
          </mc:Choice>
        </mc:AlternateContent>
        <mc:AlternateContent xmlns:mc="http://schemas.openxmlformats.org/markup-compatibility/2006">
          <mc:Choice Requires="x14">
            <control shapeId="1085" r:id="rId37" name="Check Box 61">
              <controlPr defaultSize="0" autoFill="0" autoLine="0" autoPict="0">
                <anchor moveWithCells="1">
                  <from>
                    <xdr:col>3</xdr:col>
                    <xdr:colOff>175260</xdr:colOff>
                    <xdr:row>45</xdr:row>
                    <xdr:rowOff>175260</xdr:rowOff>
                  </from>
                  <to>
                    <xdr:col>3</xdr:col>
                    <xdr:colOff>350520</xdr:colOff>
                    <xdr:row>46</xdr:row>
                    <xdr:rowOff>175260</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3</xdr:col>
                    <xdr:colOff>175260</xdr:colOff>
                    <xdr:row>47</xdr:row>
                    <xdr:rowOff>175260</xdr:rowOff>
                  </from>
                  <to>
                    <xdr:col>3</xdr:col>
                    <xdr:colOff>350520</xdr:colOff>
                    <xdr:row>49</xdr:row>
                    <xdr:rowOff>0</xdr:rowOff>
                  </to>
                </anchor>
              </controlPr>
            </control>
          </mc:Choice>
        </mc:AlternateContent>
        <mc:AlternateContent xmlns:mc="http://schemas.openxmlformats.org/markup-compatibility/2006">
          <mc:Choice Requires="x14">
            <control shapeId="1088" r:id="rId39" name="Check Box 64">
              <controlPr defaultSize="0" autoFill="0" autoLine="0" autoPict="0">
                <anchor moveWithCells="1">
                  <from>
                    <xdr:col>3</xdr:col>
                    <xdr:colOff>175260</xdr:colOff>
                    <xdr:row>30</xdr:row>
                    <xdr:rowOff>0</xdr:rowOff>
                  </from>
                  <to>
                    <xdr:col>3</xdr:col>
                    <xdr:colOff>350520</xdr:colOff>
                    <xdr:row>31</xdr:row>
                    <xdr:rowOff>0</xdr:rowOff>
                  </to>
                </anchor>
              </controlPr>
            </control>
          </mc:Choice>
        </mc:AlternateContent>
        <mc:AlternateContent xmlns:mc="http://schemas.openxmlformats.org/markup-compatibility/2006">
          <mc:Choice Requires="x14">
            <control shapeId="1090" r:id="rId40" name="Check Box 66">
              <controlPr defaultSize="0" autoFill="0" autoLine="0" autoPict="0">
                <anchor moveWithCells="1">
                  <from>
                    <xdr:col>3</xdr:col>
                    <xdr:colOff>175260</xdr:colOff>
                    <xdr:row>31</xdr:row>
                    <xdr:rowOff>0</xdr:rowOff>
                  </from>
                  <to>
                    <xdr:col>3</xdr:col>
                    <xdr:colOff>350520</xdr:colOff>
                    <xdr:row>32</xdr:row>
                    <xdr:rowOff>0</xdr:rowOff>
                  </to>
                </anchor>
              </controlPr>
            </control>
          </mc:Choice>
        </mc:AlternateContent>
        <mc:AlternateContent xmlns:mc="http://schemas.openxmlformats.org/markup-compatibility/2006">
          <mc:Choice Requires="x14">
            <control shapeId="1094" r:id="rId41" name="Check Box 70">
              <controlPr defaultSize="0" autoFill="0" autoLine="0" autoPict="0">
                <anchor moveWithCells="1">
                  <from>
                    <xdr:col>3</xdr:col>
                    <xdr:colOff>175260</xdr:colOff>
                    <xdr:row>31</xdr:row>
                    <xdr:rowOff>182880</xdr:rowOff>
                  </from>
                  <to>
                    <xdr:col>3</xdr:col>
                    <xdr:colOff>350520</xdr:colOff>
                    <xdr:row>33</xdr:row>
                    <xdr:rowOff>0</xdr:rowOff>
                  </to>
                </anchor>
              </controlPr>
            </control>
          </mc:Choice>
        </mc:AlternateContent>
        <mc:AlternateContent xmlns:mc="http://schemas.openxmlformats.org/markup-compatibility/2006">
          <mc:Choice Requires="x14">
            <control shapeId="1097" r:id="rId42" name="Check Box 73">
              <controlPr defaultSize="0" autoFill="0" autoLine="0" autoPict="0">
                <anchor moveWithCells="1">
                  <from>
                    <xdr:col>3</xdr:col>
                    <xdr:colOff>175260</xdr:colOff>
                    <xdr:row>33</xdr:row>
                    <xdr:rowOff>175260</xdr:rowOff>
                  </from>
                  <to>
                    <xdr:col>3</xdr:col>
                    <xdr:colOff>350520</xdr:colOff>
                    <xdr:row>35</xdr:row>
                    <xdr:rowOff>0</xdr:rowOff>
                  </to>
                </anchor>
              </controlPr>
            </control>
          </mc:Choice>
        </mc:AlternateContent>
        <mc:AlternateContent xmlns:mc="http://schemas.openxmlformats.org/markup-compatibility/2006">
          <mc:Choice Requires="x14">
            <control shapeId="1225" r:id="rId43" name="Check Box 201">
              <controlPr defaultSize="0" autoFill="0" autoLine="0" autoPict="0">
                <anchor moveWithCells="1">
                  <from>
                    <xdr:col>5</xdr:col>
                    <xdr:colOff>182880</xdr:colOff>
                    <xdr:row>2</xdr:row>
                    <xdr:rowOff>182880</xdr:rowOff>
                  </from>
                  <to>
                    <xdr:col>5</xdr:col>
                    <xdr:colOff>449580</xdr:colOff>
                    <xdr:row>4</xdr:row>
                    <xdr:rowOff>30480</xdr:rowOff>
                  </to>
                </anchor>
              </controlPr>
            </control>
          </mc:Choice>
        </mc:AlternateContent>
        <mc:AlternateContent xmlns:mc="http://schemas.openxmlformats.org/markup-compatibility/2006">
          <mc:Choice Requires="x14">
            <control shapeId="1226" r:id="rId44" name="Check Box 202">
              <controlPr defaultSize="0" autoFill="0" autoLine="0" autoPict="0">
                <anchor moveWithCells="1">
                  <from>
                    <xdr:col>5</xdr:col>
                    <xdr:colOff>182880</xdr:colOff>
                    <xdr:row>3</xdr:row>
                    <xdr:rowOff>175260</xdr:rowOff>
                  </from>
                  <to>
                    <xdr:col>5</xdr:col>
                    <xdr:colOff>449580</xdr:colOff>
                    <xdr:row>5</xdr:row>
                    <xdr:rowOff>22860</xdr:rowOff>
                  </to>
                </anchor>
              </controlPr>
            </control>
          </mc:Choice>
        </mc:AlternateContent>
        <mc:AlternateContent xmlns:mc="http://schemas.openxmlformats.org/markup-compatibility/2006">
          <mc:Choice Requires="x14">
            <control shapeId="1227" r:id="rId45" name="Check Box 203">
              <controlPr defaultSize="0" autoFill="0" autoLine="0" autoPict="0">
                <anchor moveWithCells="1">
                  <from>
                    <xdr:col>5</xdr:col>
                    <xdr:colOff>182880</xdr:colOff>
                    <xdr:row>4</xdr:row>
                    <xdr:rowOff>175260</xdr:rowOff>
                  </from>
                  <to>
                    <xdr:col>5</xdr:col>
                    <xdr:colOff>449580</xdr:colOff>
                    <xdr:row>6</xdr:row>
                    <xdr:rowOff>22860</xdr:rowOff>
                  </to>
                </anchor>
              </controlPr>
            </control>
          </mc:Choice>
        </mc:AlternateContent>
        <mc:AlternateContent xmlns:mc="http://schemas.openxmlformats.org/markup-compatibility/2006">
          <mc:Choice Requires="x14">
            <control shapeId="1228" r:id="rId46" name="Check Box 204">
              <controlPr defaultSize="0" autoFill="0" autoLine="0" autoPict="0">
                <anchor moveWithCells="1">
                  <from>
                    <xdr:col>5</xdr:col>
                    <xdr:colOff>182880</xdr:colOff>
                    <xdr:row>5</xdr:row>
                    <xdr:rowOff>160020</xdr:rowOff>
                  </from>
                  <to>
                    <xdr:col>5</xdr:col>
                    <xdr:colOff>449580</xdr:colOff>
                    <xdr:row>7</xdr:row>
                    <xdr:rowOff>22860</xdr:rowOff>
                  </to>
                </anchor>
              </controlPr>
            </control>
          </mc:Choice>
        </mc:AlternateContent>
        <mc:AlternateContent xmlns:mc="http://schemas.openxmlformats.org/markup-compatibility/2006">
          <mc:Choice Requires="x14">
            <control shapeId="1229" r:id="rId47" name="Check Box 205">
              <controlPr defaultSize="0" autoFill="0" autoLine="0" autoPict="0">
                <anchor moveWithCells="1">
                  <from>
                    <xdr:col>5</xdr:col>
                    <xdr:colOff>182880</xdr:colOff>
                    <xdr:row>6</xdr:row>
                    <xdr:rowOff>160020</xdr:rowOff>
                  </from>
                  <to>
                    <xdr:col>5</xdr:col>
                    <xdr:colOff>449580</xdr:colOff>
                    <xdr:row>8</xdr:row>
                    <xdr:rowOff>22860</xdr:rowOff>
                  </to>
                </anchor>
              </controlPr>
            </control>
          </mc:Choice>
        </mc:AlternateContent>
        <mc:AlternateContent xmlns:mc="http://schemas.openxmlformats.org/markup-compatibility/2006">
          <mc:Choice Requires="x14">
            <control shapeId="1230" r:id="rId48" name="Check Box 206">
              <controlPr defaultSize="0" autoFill="0" autoLine="0" autoPict="0">
                <anchor moveWithCells="1">
                  <from>
                    <xdr:col>5</xdr:col>
                    <xdr:colOff>182880</xdr:colOff>
                    <xdr:row>7</xdr:row>
                    <xdr:rowOff>175260</xdr:rowOff>
                  </from>
                  <to>
                    <xdr:col>5</xdr:col>
                    <xdr:colOff>449580</xdr:colOff>
                    <xdr:row>9</xdr:row>
                    <xdr:rowOff>22860</xdr:rowOff>
                  </to>
                </anchor>
              </controlPr>
            </control>
          </mc:Choice>
        </mc:AlternateContent>
        <mc:AlternateContent xmlns:mc="http://schemas.openxmlformats.org/markup-compatibility/2006">
          <mc:Choice Requires="x14">
            <control shapeId="1232" r:id="rId49" name="Check Box 208">
              <controlPr defaultSize="0" autoFill="0" autoLine="0" autoPict="0">
                <anchor moveWithCells="1">
                  <from>
                    <xdr:col>5</xdr:col>
                    <xdr:colOff>182880</xdr:colOff>
                    <xdr:row>9</xdr:row>
                    <xdr:rowOff>175260</xdr:rowOff>
                  </from>
                  <to>
                    <xdr:col>5</xdr:col>
                    <xdr:colOff>449580</xdr:colOff>
                    <xdr:row>11</xdr:row>
                    <xdr:rowOff>30480</xdr:rowOff>
                  </to>
                </anchor>
              </controlPr>
            </control>
          </mc:Choice>
        </mc:AlternateContent>
        <mc:AlternateContent xmlns:mc="http://schemas.openxmlformats.org/markup-compatibility/2006">
          <mc:Choice Requires="x14">
            <control shapeId="1233" r:id="rId50" name="Check Box 209">
              <controlPr defaultSize="0" autoFill="0" autoLine="0" autoPict="0">
                <anchor moveWithCells="1">
                  <from>
                    <xdr:col>5</xdr:col>
                    <xdr:colOff>182880</xdr:colOff>
                    <xdr:row>10</xdr:row>
                    <xdr:rowOff>160020</xdr:rowOff>
                  </from>
                  <to>
                    <xdr:col>5</xdr:col>
                    <xdr:colOff>449580</xdr:colOff>
                    <xdr:row>12</xdr:row>
                    <xdr:rowOff>22860</xdr:rowOff>
                  </to>
                </anchor>
              </controlPr>
            </control>
          </mc:Choice>
        </mc:AlternateContent>
        <mc:AlternateContent xmlns:mc="http://schemas.openxmlformats.org/markup-compatibility/2006">
          <mc:Choice Requires="x14">
            <control shapeId="1234" r:id="rId51" name="Check Box 210">
              <controlPr defaultSize="0" autoFill="0" autoLine="0" autoPict="0">
                <anchor moveWithCells="1">
                  <from>
                    <xdr:col>5</xdr:col>
                    <xdr:colOff>182880</xdr:colOff>
                    <xdr:row>12</xdr:row>
                    <xdr:rowOff>0</xdr:rowOff>
                  </from>
                  <to>
                    <xdr:col>5</xdr:col>
                    <xdr:colOff>449580</xdr:colOff>
                    <xdr:row>13</xdr:row>
                    <xdr:rowOff>45720</xdr:rowOff>
                  </to>
                </anchor>
              </controlPr>
            </control>
          </mc:Choice>
        </mc:AlternateContent>
        <mc:AlternateContent xmlns:mc="http://schemas.openxmlformats.org/markup-compatibility/2006">
          <mc:Choice Requires="x14">
            <control shapeId="1235" r:id="rId52" name="Check Box 211">
              <controlPr defaultSize="0" autoFill="0" autoLine="0" autoPict="0">
                <anchor moveWithCells="1">
                  <from>
                    <xdr:col>5</xdr:col>
                    <xdr:colOff>182880</xdr:colOff>
                    <xdr:row>12</xdr:row>
                    <xdr:rowOff>175260</xdr:rowOff>
                  </from>
                  <to>
                    <xdr:col>5</xdr:col>
                    <xdr:colOff>449580</xdr:colOff>
                    <xdr:row>14</xdr:row>
                    <xdr:rowOff>22860</xdr:rowOff>
                  </to>
                </anchor>
              </controlPr>
            </control>
          </mc:Choice>
        </mc:AlternateContent>
        <mc:AlternateContent xmlns:mc="http://schemas.openxmlformats.org/markup-compatibility/2006">
          <mc:Choice Requires="x14">
            <control shapeId="1236" r:id="rId53" name="Check Box 212">
              <controlPr defaultSize="0" autoFill="0" autoLine="0" autoPict="0">
                <anchor moveWithCells="1">
                  <from>
                    <xdr:col>5</xdr:col>
                    <xdr:colOff>182880</xdr:colOff>
                    <xdr:row>13</xdr:row>
                    <xdr:rowOff>175260</xdr:rowOff>
                  </from>
                  <to>
                    <xdr:col>5</xdr:col>
                    <xdr:colOff>449580</xdr:colOff>
                    <xdr:row>15</xdr:row>
                    <xdr:rowOff>22860</xdr:rowOff>
                  </to>
                </anchor>
              </controlPr>
            </control>
          </mc:Choice>
        </mc:AlternateContent>
        <mc:AlternateContent xmlns:mc="http://schemas.openxmlformats.org/markup-compatibility/2006">
          <mc:Choice Requires="x14">
            <control shapeId="1237" r:id="rId54" name="Check Box 213">
              <controlPr defaultSize="0" autoFill="0" autoLine="0" autoPict="0">
                <anchor moveWithCells="1">
                  <from>
                    <xdr:col>5</xdr:col>
                    <xdr:colOff>182880</xdr:colOff>
                    <xdr:row>14</xdr:row>
                    <xdr:rowOff>152400</xdr:rowOff>
                  </from>
                  <to>
                    <xdr:col>5</xdr:col>
                    <xdr:colOff>449580</xdr:colOff>
                    <xdr:row>16</xdr:row>
                    <xdr:rowOff>7620</xdr:rowOff>
                  </to>
                </anchor>
              </controlPr>
            </control>
          </mc:Choice>
        </mc:AlternateContent>
        <mc:AlternateContent xmlns:mc="http://schemas.openxmlformats.org/markup-compatibility/2006">
          <mc:Choice Requires="x14">
            <control shapeId="1240" r:id="rId55" name="Check Box 216">
              <controlPr defaultSize="0" autoFill="0" autoLine="0" autoPict="0">
                <anchor moveWithCells="1">
                  <from>
                    <xdr:col>5</xdr:col>
                    <xdr:colOff>182880</xdr:colOff>
                    <xdr:row>17</xdr:row>
                    <xdr:rowOff>0</xdr:rowOff>
                  </from>
                  <to>
                    <xdr:col>5</xdr:col>
                    <xdr:colOff>449580</xdr:colOff>
                    <xdr:row>18</xdr:row>
                    <xdr:rowOff>45720</xdr:rowOff>
                  </to>
                </anchor>
              </controlPr>
            </control>
          </mc:Choice>
        </mc:AlternateContent>
        <mc:AlternateContent xmlns:mc="http://schemas.openxmlformats.org/markup-compatibility/2006">
          <mc:Choice Requires="x14">
            <control shapeId="1241" r:id="rId56" name="Check Box 217">
              <controlPr defaultSize="0" autoFill="0" autoLine="0" autoPict="0">
                <anchor moveWithCells="1">
                  <from>
                    <xdr:col>5</xdr:col>
                    <xdr:colOff>182880</xdr:colOff>
                    <xdr:row>17</xdr:row>
                    <xdr:rowOff>175260</xdr:rowOff>
                  </from>
                  <to>
                    <xdr:col>5</xdr:col>
                    <xdr:colOff>449580</xdr:colOff>
                    <xdr:row>19</xdr:row>
                    <xdr:rowOff>22860</xdr:rowOff>
                  </to>
                </anchor>
              </controlPr>
            </control>
          </mc:Choice>
        </mc:AlternateContent>
        <mc:AlternateContent xmlns:mc="http://schemas.openxmlformats.org/markup-compatibility/2006">
          <mc:Choice Requires="x14">
            <control shapeId="1242" r:id="rId57" name="Check Box 218">
              <controlPr defaultSize="0" autoFill="0" autoLine="0" autoPict="0">
                <anchor moveWithCells="1">
                  <from>
                    <xdr:col>5</xdr:col>
                    <xdr:colOff>182880</xdr:colOff>
                    <xdr:row>19</xdr:row>
                    <xdr:rowOff>160020</xdr:rowOff>
                  </from>
                  <to>
                    <xdr:col>5</xdr:col>
                    <xdr:colOff>449580</xdr:colOff>
                    <xdr:row>21</xdr:row>
                    <xdr:rowOff>7620</xdr:rowOff>
                  </to>
                </anchor>
              </controlPr>
            </control>
          </mc:Choice>
        </mc:AlternateContent>
        <mc:AlternateContent xmlns:mc="http://schemas.openxmlformats.org/markup-compatibility/2006">
          <mc:Choice Requires="x14">
            <control shapeId="1243" r:id="rId58" name="Check Box 219">
              <controlPr defaultSize="0" autoFill="0" autoLine="0" autoPict="0">
                <anchor moveWithCells="1">
                  <from>
                    <xdr:col>5</xdr:col>
                    <xdr:colOff>182880</xdr:colOff>
                    <xdr:row>20</xdr:row>
                    <xdr:rowOff>160020</xdr:rowOff>
                  </from>
                  <to>
                    <xdr:col>5</xdr:col>
                    <xdr:colOff>449580</xdr:colOff>
                    <xdr:row>22</xdr:row>
                    <xdr:rowOff>22860</xdr:rowOff>
                  </to>
                </anchor>
              </controlPr>
            </control>
          </mc:Choice>
        </mc:AlternateContent>
        <mc:AlternateContent xmlns:mc="http://schemas.openxmlformats.org/markup-compatibility/2006">
          <mc:Choice Requires="x14">
            <control shapeId="1244" r:id="rId59" name="Check Box 220">
              <controlPr defaultSize="0" autoFill="0" autoLine="0" autoPict="0">
                <anchor moveWithCells="1">
                  <from>
                    <xdr:col>5</xdr:col>
                    <xdr:colOff>182880</xdr:colOff>
                    <xdr:row>21</xdr:row>
                    <xdr:rowOff>175260</xdr:rowOff>
                  </from>
                  <to>
                    <xdr:col>5</xdr:col>
                    <xdr:colOff>449580</xdr:colOff>
                    <xdr:row>23</xdr:row>
                    <xdr:rowOff>22860</xdr:rowOff>
                  </to>
                </anchor>
              </controlPr>
            </control>
          </mc:Choice>
        </mc:AlternateContent>
        <mc:AlternateContent xmlns:mc="http://schemas.openxmlformats.org/markup-compatibility/2006">
          <mc:Choice Requires="x14">
            <control shapeId="1246" r:id="rId60" name="Check Box 222">
              <controlPr defaultSize="0" autoFill="0" autoLine="0" autoPict="0">
                <anchor moveWithCells="1">
                  <from>
                    <xdr:col>5</xdr:col>
                    <xdr:colOff>182880</xdr:colOff>
                    <xdr:row>22</xdr:row>
                    <xdr:rowOff>175260</xdr:rowOff>
                  </from>
                  <to>
                    <xdr:col>5</xdr:col>
                    <xdr:colOff>449580</xdr:colOff>
                    <xdr:row>24</xdr:row>
                    <xdr:rowOff>22860</xdr:rowOff>
                  </to>
                </anchor>
              </controlPr>
            </control>
          </mc:Choice>
        </mc:AlternateContent>
        <mc:AlternateContent xmlns:mc="http://schemas.openxmlformats.org/markup-compatibility/2006">
          <mc:Choice Requires="x14">
            <control shapeId="1247" r:id="rId61" name="Check Box 223">
              <controlPr defaultSize="0" autoFill="0" autoLine="0" autoPict="0">
                <anchor moveWithCells="1">
                  <from>
                    <xdr:col>5</xdr:col>
                    <xdr:colOff>182880</xdr:colOff>
                    <xdr:row>23</xdr:row>
                    <xdr:rowOff>160020</xdr:rowOff>
                  </from>
                  <to>
                    <xdr:col>5</xdr:col>
                    <xdr:colOff>449580</xdr:colOff>
                    <xdr:row>25</xdr:row>
                    <xdr:rowOff>22860</xdr:rowOff>
                  </to>
                </anchor>
              </controlPr>
            </control>
          </mc:Choice>
        </mc:AlternateContent>
        <mc:AlternateContent xmlns:mc="http://schemas.openxmlformats.org/markup-compatibility/2006">
          <mc:Choice Requires="x14">
            <control shapeId="1249" r:id="rId62" name="Check Box 225">
              <controlPr defaultSize="0" autoFill="0" autoLine="0" autoPict="0">
                <anchor moveWithCells="1">
                  <from>
                    <xdr:col>5</xdr:col>
                    <xdr:colOff>182880</xdr:colOff>
                    <xdr:row>24</xdr:row>
                    <xdr:rowOff>160020</xdr:rowOff>
                  </from>
                  <to>
                    <xdr:col>5</xdr:col>
                    <xdr:colOff>449580</xdr:colOff>
                    <xdr:row>26</xdr:row>
                    <xdr:rowOff>22860</xdr:rowOff>
                  </to>
                </anchor>
              </controlPr>
            </control>
          </mc:Choice>
        </mc:AlternateContent>
        <mc:AlternateContent xmlns:mc="http://schemas.openxmlformats.org/markup-compatibility/2006">
          <mc:Choice Requires="x14">
            <control shapeId="1251" r:id="rId63" name="Check Box 227">
              <controlPr defaultSize="0" autoFill="0" autoLine="0" autoPict="0">
                <anchor moveWithCells="1">
                  <from>
                    <xdr:col>5</xdr:col>
                    <xdr:colOff>182880</xdr:colOff>
                    <xdr:row>25</xdr:row>
                    <xdr:rowOff>175260</xdr:rowOff>
                  </from>
                  <to>
                    <xdr:col>5</xdr:col>
                    <xdr:colOff>449580</xdr:colOff>
                    <xdr:row>27</xdr:row>
                    <xdr:rowOff>22860</xdr:rowOff>
                  </to>
                </anchor>
              </controlPr>
            </control>
          </mc:Choice>
        </mc:AlternateContent>
        <mc:AlternateContent xmlns:mc="http://schemas.openxmlformats.org/markup-compatibility/2006">
          <mc:Choice Requires="x14">
            <control shapeId="1252" r:id="rId64" name="Check Box 228">
              <controlPr defaultSize="0" autoFill="0" autoLine="0" autoPict="0">
                <anchor moveWithCells="1">
                  <from>
                    <xdr:col>5</xdr:col>
                    <xdr:colOff>182880</xdr:colOff>
                    <xdr:row>26</xdr:row>
                    <xdr:rowOff>182880</xdr:rowOff>
                  </from>
                  <to>
                    <xdr:col>5</xdr:col>
                    <xdr:colOff>449580</xdr:colOff>
                    <xdr:row>28</xdr:row>
                    <xdr:rowOff>30480</xdr:rowOff>
                  </to>
                </anchor>
              </controlPr>
            </control>
          </mc:Choice>
        </mc:AlternateContent>
        <mc:AlternateContent xmlns:mc="http://schemas.openxmlformats.org/markup-compatibility/2006">
          <mc:Choice Requires="x14">
            <control shapeId="1254" r:id="rId65" name="Check Box 230">
              <controlPr defaultSize="0" autoFill="0" autoLine="0" autoPict="0">
                <anchor moveWithCells="1">
                  <from>
                    <xdr:col>5</xdr:col>
                    <xdr:colOff>182880</xdr:colOff>
                    <xdr:row>27</xdr:row>
                    <xdr:rowOff>175260</xdr:rowOff>
                  </from>
                  <to>
                    <xdr:col>5</xdr:col>
                    <xdr:colOff>449580</xdr:colOff>
                    <xdr:row>29</xdr:row>
                    <xdr:rowOff>22860</xdr:rowOff>
                  </to>
                </anchor>
              </controlPr>
            </control>
          </mc:Choice>
        </mc:AlternateContent>
        <mc:AlternateContent xmlns:mc="http://schemas.openxmlformats.org/markup-compatibility/2006">
          <mc:Choice Requires="x14">
            <control shapeId="1256" r:id="rId66" name="Check Box 232">
              <controlPr defaultSize="0" autoFill="0" autoLine="0" autoPict="0">
                <anchor moveWithCells="1">
                  <from>
                    <xdr:col>5</xdr:col>
                    <xdr:colOff>182880</xdr:colOff>
                    <xdr:row>28</xdr:row>
                    <xdr:rowOff>175260</xdr:rowOff>
                  </from>
                  <to>
                    <xdr:col>5</xdr:col>
                    <xdr:colOff>449580</xdr:colOff>
                    <xdr:row>30</xdr:row>
                    <xdr:rowOff>22860</xdr:rowOff>
                  </to>
                </anchor>
              </controlPr>
            </control>
          </mc:Choice>
        </mc:AlternateContent>
        <mc:AlternateContent xmlns:mc="http://schemas.openxmlformats.org/markup-compatibility/2006">
          <mc:Choice Requires="x14">
            <control shapeId="1258" r:id="rId67" name="Check Box 234">
              <controlPr defaultSize="0" autoFill="0" autoLine="0" autoPict="0">
                <anchor moveWithCells="1">
                  <from>
                    <xdr:col>5</xdr:col>
                    <xdr:colOff>182880</xdr:colOff>
                    <xdr:row>29</xdr:row>
                    <xdr:rowOff>175260</xdr:rowOff>
                  </from>
                  <to>
                    <xdr:col>5</xdr:col>
                    <xdr:colOff>449580</xdr:colOff>
                    <xdr:row>31</xdr:row>
                    <xdr:rowOff>22860</xdr:rowOff>
                  </to>
                </anchor>
              </controlPr>
            </control>
          </mc:Choice>
        </mc:AlternateContent>
        <mc:AlternateContent xmlns:mc="http://schemas.openxmlformats.org/markup-compatibility/2006">
          <mc:Choice Requires="x14">
            <control shapeId="1259" r:id="rId68" name="Check Box 235">
              <controlPr defaultSize="0" autoFill="0" autoLine="0" autoPict="0">
                <anchor moveWithCells="1">
                  <from>
                    <xdr:col>5</xdr:col>
                    <xdr:colOff>182880</xdr:colOff>
                    <xdr:row>30</xdr:row>
                    <xdr:rowOff>152400</xdr:rowOff>
                  </from>
                  <to>
                    <xdr:col>5</xdr:col>
                    <xdr:colOff>449580</xdr:colOff>
                    <xdr:row>32</xdr:row>
                    <xdr:rowOff>7620</xdr:rowOff>
                  </to>
                </anchor>
              </controlPr>
            </control>
          </mc:Choice>
        </mc:AlternateContent>
        <mc:AlternateContent xmlns:mc="http://schemas.openxmlformats.org/markup-compatibility/2006">
          <mc:Choice Requires="x14">
            <control shapeId="1261" r:id="rId69" name="Check Box 237">
              <controlPr defaultSize="0" autoFill="0" autoLine="0" autoPict="0">
                <anchor moveWithCells="1">
                  <from>
                    <xdr:col>5</xdr:col>
                    <xdr:colOff>182880</xdr:colOff>
                    <xdr:row>31</xdr:row>
                    <xdr:rowOff>175260</xdr:rowOff>
                  </from>
                  <to>
                    <xdr:col>5</xdr:col>
                    <xdr:colOff>449580</xdr:colOff>
                    <xdr:row>33</xdr:row>
                    <xdr:rowOff>22860</xdr:rowOff>
                  </to>
                </anchor>
              </controlPr>
            </control>
          </mc:Choice>
        </mc:AlternateContent>
        <mc:AlternateContent xmlns:mc="http://schemas.openxmlformats.org/markup-compatibility/2006">
          <mc:Choice Requires="x14">
            <control shapeId="1263" r:id="rId70" name="Check Box 239">
              <controlPr defaultSize="0" autoFill="0" autoLine="0" autoPict="0">
                <anchor moveWithCells="1">
                  <from>
                    <xdr:col>5</xdr:col>
                    <xdr:colOff>182880</xdr:colOff>
                    <xdr:row>33</xdr:row>
                    <xdr:rowOff>175260</xdr:rowOff>
                  </from>
                  <to>
                    <xdr:col>5</xdr:col>
                    <xdr:colOff>449580</xdr:colOff>
                    <xdr:row>35</xdr:row>
                    <xdr:rowOff>30480</xdr:rowOff>
                  </to>
                </anchor>
              </controlPr>
            </control>
          </mc:Choice>
        </mc:AlternateContent>
        <mc:AlternateContent xmlns:mc="http://schemas.openxmlformats.org/markup-compatibility/2006">
          <mc:Choice Requires="x14">
            <control shapeId="1264" r:id="rId71" name="Check Box 240">
              <controlPr defaultSize="0" autoFill="0" autoLine="0" autoPict="0">
                <anchor moveWithCells="1">
                  <from>
                    <xdr:col>5</xdr:col>
                    <xdr:colOff>182880</xdr:colOff>
                    <xdr:row>34</xdr:row>
                    <xdr:rowOff>182880</xdr:rowOff>
                  </from>
                  <to>
                    <xdr:col>5</xdr:col>
                    <xdr:colOff>449580</xdr:colOff>
                    <xdr:row>36</xdr:row>
                    <xdr:rowOff>30480</xdr:rowOff>
                  </to>
                </anchor>
              </controlPr>
            </control>
          </mc:Choice>
        </mc:AlternateContent>
        <mc:AlternateContent xmlns:mc="http://schemas.openxmlformats.org/markup-compatibility/2006">
          <mc:Choice Requires="x14">
            <control shapeId="1265" r:id="rId72" name="Check Box 241">
              <controlPr defaultSize="0" autoFill="0" autoLine="0" autoPict="0">
                <anchor moveWithCells="1">
                  <from>
                    <xdr:col>5</xdr:col>
                    <xdr:colOff>182880</xdr:colOff>
                    <xdr:row>35</xdr:row>
                    <xdr:rowOff>182880</xdr:rowOff>
                  </from>
                  <to>
                    <xdr:col>5</xdr:col>
                    <xdr:colOff>449580</xdr:colOff>
                    <xdr:row>37</xdr:row>
                    <xdr:rowOff>30480</xdr:rowOff>
                  </to>
                </anchor>
              </controlPr>
            </control>
          </mc:Choice>
        </mc:AlternateContent>
        <mc:AlternateContent xmlns:mc="http://schemas.openxmlformats.org/markup-compatibility/2006">
          <mc:Choice Requires="x14">
            <control shapeId="1266" r:id="rId73" name="Check Box 242">
              <controlPr defaultSize="0" autoFill="0" autoLine="0" autoPict="0">
                <anchor moveWithCells="1">
                  <from>
                    <xdr:col>5</xdr:col>
                    <xdr:colOff>182880</xdr:colOff>
                    <xdr:row>36</xdr:row>
                    <xdr:rowOff>175260</xdr:rowOff>
                  </from>
                  <to>
                    <xdr:col>5</xdr:col>
                    <xdr:colOff>449580</xdr:colOff>
                    <xdr:row>38</xdr:row>
                    <xdr:rowOff>22860</xdr:rowOff>
                  </to>
                </anchor>
              </controlPr>
            </control>
          </mc:Choice>
        </mc:AlternateContent>
        <mc:AlternateContent xmlns:mc="http://schemas.openxmlformats.org/markup-compatibility/2006">
          <mc:Choice Requires="x14">
            <control shapeId="1268" r:id="rId74" name="Check Box 244">
              <controlPr defaultSize="0" autoFill="0" autoLine="0" autoPict="0">
                <anchor moveWithCells="1">
                  <from>
                    <xdr:col>5</xdr:col>
                    <xdr:colOff>182880</xdr:colOff>
                    <xdr:row>38</xdr:row>
                    <xdr:rowOff>175260</xdr:rowOff>
                  </from>
                  <to>
                    <xdr:col>5</xdr:col>
                    <xdr:colOff>449580</xdr:colOff>
                    <xdr:row>40</xdr:row>
                    <xdr:rowOff>30480</xdr:rowOff>
                  </to>
                </anchor>
              </controlPr>
            </control>
          </mc:Choice>
        </mc:AlternateContent>
        <mc:AlternateContent xmlns:mc="http://schemas.openxmlformats.org/markup-compatibility/2006">
          <mc:Choice Requires="x14">
            <control shapeId="1269" r:id="rId75" name="Check Box 245">
              <controlPr defaultSize="0" autoFill="0" autoLine="0" autoPict="0">
                <anchor moveWithCells="1">
                  <from>
                    <xdr:col>5</xdr:col>
                    <xdr:colOff>182880</xdr:colOff>
                    <xdr:row>39</xdr:row>
                    <xdr:rowOff>152400</xdr:rowOff>
                  </from>
                  <to>
                    <xdr:col>5</xdr:col>
                    <xdr:colOff>449580</xdr:colOff>
                    <xdr:row>41</xdr:row>
                    <xdr:rowOff>7620</xdr:rowOff>
                  </to>
                </anchor>
              </controlPr>
            </control>
          </mc:Choice>
        </mc:AlternateContent>
        <mc:AlternateContent xmlns:mc="http://schemas.openxmlformats.org/markup-compatibility/2006">
          <mc:Choice Requires="x14">
            <control shapeId="1270" r:id="rId76" name="Check Box 246">
              <controlPr defaultSize="0" autoFill="0" autoLine="0" autoPict="0">
                <anchor moveWithCells="1">
                  <from>
                    <xdr:col>5</xdr:col>
                    <xdr:colOff>182880</xdr:colOff>
                    <xdr:row>40</xdr:row>
                    <xdr:rowOff>175260</xdr:rowOff>
                  </from>
                  <to>
                    <xdr:col>5</xdr:col>
                    <xdr:colOff>449580</xdr:colOff>
                    <xdr:row>42</xdr:row>
                    <xdr:rowOff>22860</xdr:rowOff>
                  </to>
                </anchor>
              </controlPr>
            </control>
          </mc:Choice>
        </mc:AlternateContent>
        <mc:AlternateContent xmlns:mc="http://schemas.openxmlformats.org/markup-compatibility/2006">
          <mc:Choice Requires="x14">
            <control shapeId="1271" r:id="rId77" name="Check Box 247">
              <controlPr defaultSize="0" autoFill="0" autoLine="0" autoPict="0">
                <anchor moveWithCells="1">
                  <from>
                    <xdr:col>5</xdr:col>
                    <xdr:colOff>182880</xdr:colOff>
                    <xdr:row>41</xdr:row>
                    <xdr:rowOff>175260</xdr:rowOff>
                  </from>
                  <to>
                    <xdr:col>5</xdr:col>
                    <xdr:colOff>449580</xdr:colOff>
                    <xdr:row>43</xdr:row>
                    <xdr:rowOff>22860</xdr:rowOff>
                  </to>
                </anchor>
              </controlPr>
            </control>
          </mc:Choice>
        </mc:AlternateContent>
        <mc:AlternateContent xmlns:mc="http://schemas.openxmlformats.org/markup-compatibility/2006">
          <mc:Choice Requires="x14">
            <control shapeId="1272" r:id="rId78" name="Check Box 248">
              <controlPr defaultSize="0" autoFill="0" autoLine="0" autoPict="0">
                <anchor moveWithCells="1">
                  <from>
                    <xdr:col>5</xdr:col>
                    <xdr:colOff>182880</xdr:colOff>
                    <xdr:row>42</xdr:row>
                    <xdr:rowOff>175260</xdr:rowOff>
                  </from>
                  <to>
                    <xdr:col>5</xdr:col>
                    <xdr:colOff>449580</xdr:colOff>
                    <xdr:row>44</xdr:row>
                    <xdr:rowOff>22860</xdr:rowOff>
                  </to>
                </anchor>
              </controlPr>
            </control>
          </mc:Choice>
        </mc:AlternateContent>
        <mc:AlternateContent xmlns:mc="http://schemas.openxmlformats.org/markup-compatibility/2006">
          <mc:Choice Requires="x14">
            <control shapeId="1273" r:id="rId79" name="Check Box 249">
              <controlPr defaultSize="0" autoFill="0" autoLine="0" autoPict="0">
                <anchor moveWithCells="1">
                  <from>
                    <xdr:col>5</xdr:col>
                    <xdr:colOff>182880</xdr:colOff>
                    <xdr:row>44</xdr:row>
                    <xdr:rowOff>182880</xdr:rowOff>
                  </from>
                  <to>
                    <xdr:col>5</xdr:col>
                    <xdr:colOff>449580</xdr:colOff>
                    <xdr:row>46</xdr:row>
                    <xdr:rowOff>30480</xdr:rowOff>
                  </to>
                </anchor>
              </controlPr>
            </control>
          </mc:Choice>
        </mc:AlternateContent>
        <mc:AlternateContent xmlns:mc="http://schemas.openxmlformats.org/markup-compatibility/2006">
          <mc:Choice Requires="x14">
            <control shapeId="1274" r:id="rId80" name="Check Box 250">
              <controlPr defaultSize="0" autoFill="0" autoLine="0" autoPict="0">
                <anchor moveWithCells="1">
                  <from>
                    <xdr:col>5</xdr:col>
                    <xdr:colOff>182880</xdr:colOff>
                    <xdr:row>45</xdr:row>
                    <xdr:rowOff>175260</xdr:rowOff>
                  </from>
                  <to>
                    <xdr:col>5</xdr:col>
                    <xdr:colOff>449580</xdr:colOff>
                    <xdr:row>47</xdr:row>
                    <xdr:rowOff>22860</xdr:rowOff>
                  </to>
                </anchor>
              </controlPr>
            </control>
          </mc:Choice>
        </mc:AlternateContent>
        <mc:AlternateContent xmlns:mc="http://schemas.openxmlformats.org/markup-compatibility/2006">
          <mc:Choice Requires="x14">
            <control shapeId="1276" r:id="rId81" name="Check Box 252">
              <controlPr defaultSize="0" autoFill="0" autoLine="0" autoPict="0">
                <anchor moveWithCells="1">
                  <from>
                    <xdr:col>5</xdr:col>
                    <xdr:colOff>182880</xdr:colOff>
                    <xdr:row>47</xdr:row>
                    <xdr:rowOff>175260</xdr:rowOff>
                  </from>
                  <to>
                    <xdr:col>5</xdr:col>
                    <xdr:colOff>449580</xdr:colOff>
                    <xdr:row>49</xdr:row>
                    <xdr:rowOff>30480</xdr:rowOff>
                  </to>
                </anchor>
              </controlPr>
            </control>
          </mc:Choice>
        </mc:AlternateContent>
        <mc:AlternateContent xmlns:mc="http://schemas.openxmlformats.org/markup-compatibility/2006">
          <mc:Choice Requires="x14">
            <control shapeId="1332" r:id="rId82" name="Check Box 308">
              <controlPr defaultSize="0" autoFill="0" autoLine="0" autoPict="0">
                <anchor moveWithCells="1">
                  <from>
                    <xdr:col>3</xdr:col>
                    <xdr:colOff>175260</xdr:colOff>
                    <xdr:row>48</xdr:row>
                    <xdr:rowOff>160020</xdr:rowOff>
                  </from>
                  <to>
                    <xdr:col>3</xdr:col>
                    <xdr:colOff>350520</xdr:colOff>
                    <xdr:row>49</xdr:row>
                    <xdr:rowOff>160020</xdr:rowOff>
                  </to>
                </anchor>
              </controlPr>
            </control>
          </mc:Choice>
        </mc:AlternateContent>
        <mc:AlternateContent xmlns:mc="http://schemas.openxmlformats.org/markup-compatibility/2006">
          <mc:Choice Requires="x14">
            <control shapeId="1333" r:id="rId83" name="Check Box 309">
              <controlPr defaultSize="0" autoFill="0" autoLine="0" autoPict="0">
                <anchor moveWithCells="1">
                  <from>
                    <xdr:col>3</xdr:col>
                    <xdr:colOff>175260</xdr:colOff>
                    <xdr:row>49</xdr:row>
                    <xdr:rowOff>152400</xdr:rowOff>
                  </from>
                  <to>
                    <xdr:col>3</xdr:col>
                    <xdr:colOff>342900</xdr:colOff>
                    <xdr:row>50</xdr:row>
                    <xdr:rowOff>152400</xdr:rowOff>
                  </to>
                </anchor>
              </controlPr>
            </control>
          </mc:Choice>
        </mc:AlternateContent>
        <mc:AlternateContent xmlns:mc="http://schemas.openxmlformats.org/markup-compatibility/2006">
          <mc:Choice Requires="x14">
            <control shapeId="1336" r:id="rId84" name="Check Box 312">
              <controlPr defaultSize="0" autoFill="0" autoLine="0" autoPict="0">
                <anchor moveWithCells="1">
                  <from>
                    <xdr:col>5</xdr:col>
                    <xdr:colOff>182880</xdr:colOff>
                    <xdr:row>48</xdr:row>
                    <xdr:rowOff>175260</xdr:rowOff>
                  </from>
                  <to>
                    <xdr:col>5</xdr:col>
                    <xdr:colOff>449580</xdr:colOff>
                    <xdr:row>50</xdr:row>
                    <xdr:rowOff>22860</xdr:rowOff>
                  </to>
                </anchor>
              </controlPr>
            </control>
          </mc:Choice>
        </mc:AlternateContent>
        <mc:AlternateContent xmlns:mc="http://schemas.openxmlformats.org/markup-compatibility/2006">
          <mc:Choice Requires="x14">
            <control shapeId="1337" r:id="rId85" name="Check Box 313">
              <controlPr defaultSize="0" autoFill="0" autoLine="0" autoPict="0">
                <anchor moveWithCells="1">
                  <from>
                    <xdr:col>5</xdr:col>
                    <xdr:colOff>182880</xdr:colOff>
                    <xdr:row>49</xdr:row>
                    <xdr:rowOff>160020</xdr:rowOff>
                  </from>
                  <to>
                    <xdr:col>5</xdr:col>
                    <xdr:colOff>449580</xdr:colOff>
                    <xdr:row>51</xdr:row>
                    <xdr:rowOff>7620</xdr:rowOff>
                  </to>
                </anchor>
              </controlPr>
            </control>
          </mc:Choice>
        </mc:AlternateContent>
        <mc:AlternateContent xmlns:mc="http://schemas.openxmlformats.org/markup-compatibility/2006">
          <mc:Choice Requires="x14">
            <control shapeId="1343" r:id="rId86" name="Check Box 319">
              <controlPr defaultSize="0" autoFill="0" autoLine="0" autoPict="0">
                <anchor moveWithCells="1">
                  <from>
                    <xdr:col>0</xdr:col>
                    <xdr:colOff>259080</xdr:colOff>
                    <xdr:row>3</xdr:row>
                    <xdr:rowOff>175260</xdr:rowOff>
                  </from>
                  <to>
                    <xdr:col>0</xdr:col>
                    <xdr:colOff>525780</xdr:colOff>
                    <xdr:row>5</xdr:row>
                    <xdr:rowOff>22860</xdr:rowOff>
                  </to>
                </anchor>
              </controlPr>
            </control>
          </mc:Choice>
        </mc:AlternateContent>
        <mc:AlternateContent xmlns:mc="http://schemas.openxmlformats.org/markup-compatibility/2006">
          <mc:Choice Requires="x14">
            <control shapeId="1344" r:id="rId87" name="Check Box 320">
              <controlPr defaultSize="0" autoFill="0" autoLine="0" autoPict="0">
                <anchor moveWithCells="1">
                  <from>
                    <xdr:col>3</xdr:col>
                    <xdr:colOff>175260</xdr:colOff>
                    <xdr:row>18</xdr:row>
                    <xdr:rowOff>160020</xdr:rowOff>
                  </from>
                  <to>
                    <xdr:col>3</xdr:col>
                    <xdr:colOff>350520</xdr:colOff>
                    <xdr:row>19</xdr:row>
                    <xdr:rowOff>160020</xdr:rowOff>
                  </to>
                </anchor>
              </controlPr>
            </control>
          </mc:Choice>
        </mc:AlternateContent>
        <mc:AlternateContent xmlns:mc="http://schemas.openxmlformats.org/markup-compatibility/2006">
          <mc:Choice Requires="x14">
            <control shapeId="1345" r:id="rId88" name="Check Box 321">
              <controlPr defaultSize="0" autoFill="0" autoLine="0" autoPict="0">
                <anchor moveWithCells="1">
                  <from>
                    <xdr:col>5</xdr:col>
                    <xdr:colOff>182880</xdr:colOff>
                    <xdr:row>18</xdr:row>
                    <xdr:rowOff>152400</xdr:rowOff>
                  </from>
                  <to>
                    <xdr:col>5</xdr:col>
                    <xdr:colOff>449580</xdr:colOff>
                    <xdr:row>20</xdr:row>
                    <xdr:rowOff>0</xdr:rowOff>
                  </to>
                </anchor>
              </controlPr>
            </control>
          </mc:Choice>
        </mc:AlternateContent>
        <mc:AlternateContent xmlns:mc="http://schemas.openxmlformats.org/markup-compatibility/2006">
          <mc:Choice Requires="x14">
            <control shapeId="1346" r:id="rId89" name="Check Box 322">
              <controlPr defaultSize="0" autoFill="0" autoLine="0" autoPict="0">
                <anchor moveWithCells="1">
                  <from>
                    <xdr:col>3</xdr:col>
                    <xdr:colOff>175260</xdr:colOff>
                    <xdr:row>52</xdr:row>
                    <xdr:rowOff>0</xdr:rowOff>
                  </from>
                  <to>
                    <xdr:col>3</xdr:col>
                    <xdr:colOff>342900</xdr:colOff>
                    <xdr:row>53</xdr:row>
                    <xdr:rowOff>7620</xdr:rowOff>
                  </to>
                </anchor>
              </controlPr>
            </control>
          </mc:Choice>
        </mc:AlternateContent>
        <mc:AlternateContent xmlns:mc="http://schemas.openxmlformats.org/markup-compatibility/2006">
          <mc:Choice Requires="x14">
            <control shapeId="1347" r:id="rId90" name="Check Box 323">
              <controlPr defaultSize="0" autoFill="0" autoLine="0" autoPict="0">
                <anchor moveWithCells="1">
                  <from>
                    <xdr:col>3</xdr:col>
                    <xdr:colOff>175260</xdr:colOff>
                    <xdr:row>52</xdr:row>
                    <xdr:rowOff>175260</xdr:rowOff>
                  </from>
                  <to>
                    <xdr:col>3</xdr:col>
                    <xdr:colOff>342900</xdr:colOff>
                    <xdr:row>53</xdr:row>
                    <xdr:rowOff>175260</xdr:rowOff>
                  </to>
                </anchor>
              </controlPr>
            </control>
          </mc:Choice>
        </mc:AlternateContent>
        <mc:AlternateContent xmlns:mc="http://schemas.openxmlformats.org/markup-compatibility/2006">
          <mc:Choice Requires="x14">
            <control shapeId="1348" r:id="rId91" name="Check Box 324">
              <controlPr defaultSize="0" autoFill="0" autoLine="0" autoPict="0">
                <anchor moveWithCells="1">
                  <from>
                    <xdr:col>3</xdr:col>
                    <xdr:colOff>175260</xdr:colOff>
                    <xdr:row>53</xdr:row>
                    <xdr:rowOff>160020</xdr:rowOff>
                  </from>
                  <to>
                    <xdr:col>3</xdr:col>
                    <xdr:colOff>342900</xdr:colOff>
                    <xdr:row>54</xdr:row>
                    <xdr:rowOff>160020</xdr:rowOff>
                  </to>
                </anchor>
              </controlPr>
            </control>
          </mc:Choice>
        </mc:AlternateContent>
        <mc:AlternateContent xmlns:mc="http://schemas.openxmlformats.org/markup-compatibility/2006">
          <mc:Choice Requires="x14">
            <control shapeId="1349" r:id="rId92" name="Check Box 325">
              <controlPr defaultSize="0" autoFill="0" autoLine="0" autoPict="0">
                <anchor moveWithCells="1">
                  <from>
                    <xdr:col>3</xdr:col>
                    <xdr:colOff>175260</xdr:colOff>
                    <xdr:row>54</xdr:row>
                    <xdr:rowOff>152400</xdr:rowOff>
                  </from>
                  <to>
                    <xdr:col>3</xdr:col>
                    <xdr:colOff>342900</xdr:colOff>
                    <xdr:row>55</xdr:row>
                    <xdr:rowOff>152400</xdr:rowOff>
                  </to>
                </anchor>
              </controlPr>
            </control>
          </mc:Choice>
        </mc:AlternateContent>
        <mc:AlternateContent xmlns:mc="http://schemas.openxmlformats.org/markup-compatibility/2006">
          <mc:Choice Requires="x14">
            <control shapeId="1350" r:id="rId93" name="Check Box 326">
              <controlPr defaultSize="0" autoFill="0" autoLine="0" autoPict="0">
                <anchor moveWithCells="1">
                  <from>
                    <xdr:col>5</xdr:col>
                    <xdr:colOff>182880</xdr:colOff>
                    <xdr:row>51</xdr:row>
                    <xdr:rowOff>22860</xdr:rowOff>
                  </from>
                  <to>
                    <xdr:col>5</xdr:col>
                    <xdr:colOff>449580</xdr:colOff>
                    <xdr:row>53</xdr:row>
                    <xdr:rowOff>22860</xdr:rowOff>
                  </to>
                </anchor>
              </controlPr>
            </control>
          </mc:Choice>
        </mc:AlternateContent>
        <mc:AlternateContent xmlns:mc="http://schemas.openxmlformats.org/markup-compatibility/2006">
          <mc:Choice Requires="x14">
            <control shapeId="1351" r:id="rId94" name="Check Box 327">
              <controlPr defaultSize="0" autoFill="0" autoLine="0" autoPict="0">
                <anchor moveWithCells="1">
                  <from>
                    <xdr:col>5</xdr:col>
                    <xdr:colOff>182880</xdr:colOff>
                    <xdr:row>52</xdr:row>
                    <xdr:rowOff>152400</xdr:rowOff>
                  </from>
                  <to>
                    <xdr:col>5</xdr:col>
                    <xdr:colOff>449580</xdr:colOff>
                    <xdr:row>53</xdr:row>
                    <xdr:rowOff>182880</xdr:rowOff>
                  </to>
                </anchor>
              </controlPr>
            </control>
          </mc:Choice>
        </mc:AlternateContent>
        <mc:AlternateContent xmlns:mc="http://schemas.openxmlformats.org/markup-compatibility/2006">
          <mc:Choice Requires="x14">
            <control shapeId="1352" r:id="rId95" name="Check Box 328">
              <controlPr defaultSize="0" autoFill="0" autoLine="0" autoPict="0">
                <anchor moveWithCells="1">
                  <from>
                    <xdr:col>5</xdr:col>
                    <xdr:colOff>190500</xdr:colOff>
                    <xdr:row>53</xdr:row>
                    <xdr:rowOff>137160</xdr:rowOff>
                  </from>
                  <to>
                    <xdr:col>5</xdr:col>
                    <xdr:colOff>457200</xdr:colOff>
                    <xdr:row>54</xdr:row>
                    <xdr:rowOff>175260</xdr:rowOff>
                  </to>
                </anchor>
              </controlPr>
            </control>
          </mc:Choice>
        </mc:AlternateContent>
        <mc:AlternateContent xmlns:mc="http://schemas.openxmlformats.org/markup-compatibility/2006">
          <mc:Choice Requires="x14">
            <control shapeId="1353" r:id="rId96" name="Check Box 329">
              <controlPr defaultSize="0" autoFill="0" autoLine="0" autoPict="0">
                <anchor moveWithCells="1">
                  <from>
                    <xdr:col>5</xdr:col>
                    <xdr:colOff>190500</xdr:colOff>
                    <xdr:row>54</xdr:row>
                    <xdr:rowOff>137160</xdr:rowOff>
                  </from>
                  <to>
                    <xdr:col>5</xdr:col>
                    <xdr:colOff>457200</xdr:colOff>
                    <xdr:row>55</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H35"/>
  <sheetViews>
    <sheetView showGridLines="0" zoomScaleNormal="100" workbookViewId="0">
      <selection activeCell="E11" sqref="E11"/>
    </sheetView>
  </sheetViews>
  <sheetFormatPr baseColWidth="10" defaultColWidth="11.5546875" defaultRowHeight="15.6" x14ac:dyDescent="0.3"/>
  <cols>
    <col min="1" max="1" width="14" style="149" customWidth="1"/>
    <col min="2" max="2" width="46.5546875" style="149" customWidth="1"/>
    <col min="3" max="3" width="12.5546875" style="149" customWidth="1"/>
    <col min="4" max="4" width="7.44140625" style="149" customWidth="1"/>
    <col min="5" max="5" width="12" style="149" customWidth="1"/>
    <col min="6" max="6" width="10.88671875" style="149" customWidth="1"/>
    <col min="7" max="9" width="11.5546875" style="149"/>
    <col min="10" max="10" width="18.6640625" style="149" customWidth="1"/>
    <col min="11" max="16384" width="11.5546875" style="149"/>
  </cols>
  <sheetData>
    <row r="1" spans="1:8" ht="15.6" customHeight="1" x14ac:dyDescent="0.3">
      <c r="A1" s="554" t="s">
        <v>256</v>
      </c>
      <c r="B1" s="554"/>
      <c r="C1" s="554"/>
      <c r="D1" s="554"/>
      <c r="E1" s="554"/>
      <c r="F1" s="554"/>
      <c r="G1" s="554"/>
    </row>
    <row r="2" spans="1:8" x14ac:dyDescent="0.3">
      <c r="A2" s="554"/>
      <c r="B2" s="554"/>
      <c r="C2" s="554"/>
      <c r="D2" s="554"/>
      <c r="E2" s="554"/>
      <c r="F2" s="554"/>
      <c r="G2" s="554"/>
    </row>
    <row r="3" spans="1:8" x14ac:dyDescent="0.3">
      <c r="A3" s="554"/>
      <c r="B3" s="554"/>
      <c r="C3" s="554"/>
      <c r="D3" s="554"/>
      <c r="E3" s="554"/>
      <c r="F3" s="554"/>
      <c r="G3" s="554"/>
    </row>
    <row r="4" spans="1:8" x14ac:dyDescent="0.3">
      <c r="A4" s="554"/>
      <c r="B4" s="554"/>
      <c r="C4" s="554"/>
      <c r="D4" s="554"/>
      <c r="E4" s="554"/>
      <c r="F4" s="554"/>
      <c r="G4" s="554"/>
    </row>
    <row r="5" spans="1:8" x14ac:dyDescent="0.3">
      <c r="A5" s="382"/>
      <c r="B5" s="382"/>
      <c r="C5" s="382"/>
      <c r="D5" s="382"/>
      <c r="E5" s="382"/>
      <c r="F5" s="382"/>
      <c r="G5" s="382"/>
    </row>
    <row r="6" spans="1:8" x14ac:dyDescent="0.3">
      <c r="A6" s="147" t="s">
        <v>208</v>
      </c>
      <c r="B6" s="382"/>
      <c r="C6" s="382"/>
      <c r="D6" s="382"/>
      <c r="E6" s="382"/>
      <c r="F6" s="382"/>
      <c r="G6" s="382"/>
    </row>
    <row r="7" spans="1:8" ht="16.2" thickBot="1" x14ac:dyDescent="0.35"/>
    <row r="8" spans="1:8" x14ac:dyDescent="0.3">
      <c r="A8" s="18" t="s">
        <v>55</v>
      </c>
      <c r="C8" s="555" t="s">
        <v>57</v>
      </c>
      <c r="E8" s="555" t="s">
        <v>58</v>
      </c>
    </row>
    <row r="9" spans="1:8" ht="16.2" thickBot="1" x14ac:dyDescent="0.35">
      <c r="A9" s="337" t="b">
        <v>1</v>
      </c>
      <c r="B9" s="170"/>
      <c r="C9" s="556"/>
      <c r="E9" s="556"/>
    </row>
    <row r="10" spans="1:8" ht="16.2" thickBot="1" x14ac:dyDescent="0.35">
      <c r="A10" s="173"/>
      <c r="B10" s="173"/>
      <c r="C10" s="170"/>
    </row>
    <row r="11" spans="1:8" ht="16.2" thickBot="1" x14ac:dyDescent="0.35">
      <c r="A11" s="174"/>
      <c r="B11" s="191" t="s">
        <v>56</v>
      </c>
      <c r="C11" s="186">
        <f>'1) Wareneinsatz'!G58</f>
        <v>13.0809</v>
      </c>
      <c r="E11" s="186" t="e">
        <f>'1) Wareneinsatz'!#REF!</f>
        <v>#REF!</v>
      </c>
    </row>
    <row r="12" spans="1:8" x14ac:dyDescent="0.3">
      <c r="A12" s="175"/>
    </row>
    <row r="13" spans="1:8" x14ac:dyDescent="0.3">
      <c r="A13" s="176" t="s">
        <v>106</v>
      </c>
      <c r="B13" s="149" t="s">
        <v>107</v>
      </c>
      <c r="C13" s="342">
        <v>1.2</v>
      </c>
      <c r="E13" s="342">
        <v>1.2</v>
      </c>
      <c r="G13" s="178"/>
      <c r="H13" s="178"/>
    </row>
    <row r="14" spans="1:8" ht="16.2" thickBot="1" x14ac:dyDescent="0.35">
      <c r="A14" s="179"/>
    </row>
    <row r="15" spans="1:8" ht="16.2" thickBot="1" x14ac:dyDescent="0.35">
      <c r="A15" s="176" t="s">
        <v>69</v>
      </c>
      <c r="B15" s="195" t="s">
        <v>49</v>
      </c>
      <c r="C15" s="187">
        <f>C11+(C11*C13)</f>
        <v>28.777979999999999</v>
      </c>
      <c r="E15" s="187" t="e">
        <f>E11+(E11*E13)</f>
        <v>#REF!</v>
      </c>
      <c r="G15" s="180"/>
    </row>
    <row r="16" spans="1:8" x14ac:dyDescent="0.3">
      <c r="A16" s="174"/>
      <c r="B16" s="192"/>
    </row>
    <row r="17" spans="1:5" x14ac:dyDescent="0.3">
      <c r="A17" s="176" t="s">
        <v>106</v>
      </c>
      <c r="B17" s="192" t="s">
        <v>108</v>
      </c>
      <c r="C17" s="342">
        <v>0.2</v>
      </c>
      <c r="E17" s="342">
        <v>0.2</v>
      </c>
    </row>
    <row r="18" spans="1:5" ht="16.2" thickBot="1" x14ac:dyDescent="0.35">
      <c r="A18" s="179"/>
      <c r="B18" s="192"/>
    </row>
    <row r="19" spans="1:5" ht="16.2" thickBot="1" x14ac:dyDescent="0.35">
      <c r="A19" s="176" t="s">
        <v>69</v>
      </c>
      <c r="B19" s="195" t="s">
        <v>50</v>
      </c>
      <c r="C19" s="187">
        <f>C15+(C15*C17)</f>
        <v>34.533575999999996</v>
      </c>
      <c r="E19" s="187" t="e">
        <f>E15+(E15*E17)</f>
        <v>#REF!</v>
      </c>
    </row>
    <row r="20" spans="1:5" x14ac:dyDescent="0.3">
      <c r="A20" s="174"/>
      <c r="B20" s="192"/>
    </row>
    <row r="21" spans="1:5" x14ac:dyDescent="0.3">
      <c r="A21" s="176" t="s">
        <v>106</v>
      </c>
      <c r="B21" s="192" t="s">
        <v>109</v>
      </c>
      <c r="C21" s="342">
        <v>0.15</v>
      </c>
      <c r="E21" s="342">
        <v>0.15</v>
      </c>
    </row>
    <row r="22" spans="1:5" ht="16.2" thickBot="1" x14ac:dyDescent="0.35">
      <c r="A22" s="170"/>
      <c r="B22" s="192"/>
      <c r="C22" s="177"/>
      <c r="D22" s="132"/>
      <c r="E22" s="177"/>
    </row>
    <row r="23" spans="1:5" ht="16.2" thickBot="1" x14ac:dyDescent="0.35">
      <c r="A23" s="176" t="s">
        <v>69</v>
      </c>
      <c r="B23" s="196" t="s">
        <v>104</v>
      </c>
      <c r="C23" s="188">
        <f>C19+(C19*C21)</f>
        <v>39.713612399999995</v>
      </c>
      <c r="D23" s="169"/>
      <c r="E23" s="188" t="e">
        <f>E19+(E19*E21)</f>
        <v>#REF!</v>
      </c>
    </row>
    <row r="24" spans="1:5" s="313" customFormat="1" ht="16.2" thickBot="1" x14ac:dyDescent="0.35">
      <c r="A24" s="312"/>
      <c r="B24" s="313" t="str">
        <f>IF('1) Wareneinsatz'!A5, "", "USt. 19 %")</f>
        <v/>
      </c>
      <c r="C24" s="314">
        <f>IF('1) Wareneinsatz'!A5, 0, 0.19)</f>
        <v>0</v>
      </c>
      <c r="D24" s="314"/>
      <c r="E24" s="314"/>
    </row>
    <row r="25" spans="1:5" ht="16.2" thickBot="1" x14ac:dyDescent="0.35">
      <c r="A25" s="189" t="s">
        <v>69</v>
      </c>
      <c r="B25" s="191" t="s">
        <v>103</v>
      </c>
      <c r="C25" s="190">
        <f>C23+(C23*C24)</f>
        <v>39.713612399999995</v>
      </c>
      <c r="D25" s="133"/>
      <c r="E25" s="190" t="e">
        <f>E23+(E23*D24)</f>
        <v>#REF!</v>
      </c>
    </row>
    <row r="26" spans="1:5" x14ac:dyDescent="0.3">
      <c r="A26" s="174"/>
      <c r="D26" s="132"/>
    </row>
    <row r="27" spans="1:5" x14ac:dyDescent="0.3">
      <c r="A27" s="174"/>
      <c r="B27" s="193" t="s">
        <v>105</v>
      </c>
      <c r="C27" s="194">
        <f>IF('1) Wareneinsatz'!A5, (Preiskalkulation!C25/1.19), C23)</f>
        <v>33.372783529411763</v>
      </c>
      <c r="D27" s="145"/>
      <c r="E27" s="194" t="e">
        <f>IF('1) Wareneinsatz'!A5, (Preiskalkulation!E25/1.19), E23)</f>
        <v>#REF!</v>
      </c>
    </row>
    <row r="28" spans="1:5" x14ac:dyDescent="0.3">
      <c r="A28" s="170"/>
      <c r="B28" s="193" t="s">
        <v>246</v>
      </c>
      <c r="C28" s="194">
        <f>IF('1) Wareneinsatz'!A5, (Preiskalkulation!C27*0.19), C27*0.19)</f>
        <v>6.3408288705882345</v>
      </c>
      <c r="D28" s="145"/>
      <c r="E28" s="194" t="e">
        <f>IF('1) Wareneinsatz'!A5, (Preiskalkulation!E27*0.19), E27*0.19)</f>
        <v>#REF!</v>
      </c>
    </row>
    <row r="29" spans="1:5" x14ac:dyDescent="0.3">
      <c r="A29" s="181"/>
      <c r="D29" s="132"/>
    </row>
    <row r="30" spans="1:5" x14ac:dyDescent="0.3">
      <c r="A30" s="181"/>
      <c r="B30" s="170"/>
      <c r="C30" s="182"/>
      <c r="D30" s="183"/>
    </row>
    <row r="35" spans="1:1" x14ac:dyDescent="0.3">
      <c r="A35" s="88" t="s">
        <v>247</v>
      </c>
    </row>
  </sheetData>
  <sheetProtection selectLockedCells="1"/>
  <mergeCells count="3">
    <mergeCell ref="A1:G4"/>
    <mergeCell ref="C8:C9"/>
    <mergeCell ref="E8:E9"/>
  </mergeCells>
  <printOptions horizontalCentered="1"/>
  <pageMargins left="0.70866141732283472" right="0.70866141732283472" top="0.78740157480314965" bottom="0.19685039370078741"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297180</xdr:colOff>
                    <xdr:row>7</xdr:row>
                    <xdr:rowOff>175260</xdr:rowOff>
                  </from>
                  <to>
                    <xdr:col>0</xdr:col>
                    <xdr:colOff>563880</xdr:colOff>
                    <xdr:row>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17F2D-58FC-4F23-BB45-86689ACEDD34}">
  <sheetPr>
    <pageSetUpPr fitToPage="1"/>
  </sheetPr>
  <dimension ref="A1:E37"/>
  <sheetViews>
    <sheetView showGridLines="0" topLeftCell="A4" zoomScale="80" zoomScaleNormal="80" zoomScaleSheetLayoutView="80" workbookViewId="0">
      <selection activeCell="A4" sqref="A4"/>
    </sheetView>
  </sheetViews>
  <sheetFormatPr baseColWidth="10" defaultColWidth="11.5546875" defaultRowHeight="15.6" x14ac:dyDescent="0.3"/>
  <cols>
    <col min="1" max="1" width="36.33203125" style="149" customWidth="1"/>
    <col min="2" max="2" width="22.6640625" style="149" customWidth="1"/>
    <col min="3" max="3" width="25.6640625" style="149" customWidth="1"/>
    <col min="4" max="4" width="23.109375" style="149" customWidth="1"/>
    <col min="5" max="5" width="26.33203125" style="149" customWidth="1"/>
    <col min="6" max="16384" width="11.5546875" style="149"/>
  </cols>
  <sheetData>
    <row r="1" spans="1:5" x14ac:dyDescent="0.3">
      <c r="A1" s="147" t="s">
        <v>208</v>
      </c>
    </row>
    <row r="2" spans="1:5" x14ac:dyDescent="0.3">
      <c r="B2" s="148"/>
    </row>
    <row r="3" spans="1:5" x14ac:dyDescent="0.3">
      <c r="A3" s="354" t="str">
        <f>'1) Wareneinsatz'!A4</f>
        <v>Bruttorechner</v>
      </c>
    </row>
    <row r="4" spans="1:5" x14ac:dyDescent="0.3">
      <c r="A4" s="343" t="str">
        <f>'1) Wareneinsatz'!A4</f>
        <v>Bruttorechner</v>
      </c>
    </row>
    <row r="5" spans="1:5" ht="16.2" thickBot="1" x14ac:dyDescent="0.35"/>
    <row r="6" spans="1:5" x14ac:dyDescent="0.3">
      <c r="A6" s="150" t="s">
        <v>212</v>
      </c>
      <c r="B6" s="151"/>
      <c r="C6" s="151"/>
      <c r="D6" s="151"/>
      <c r="E6" s="152"/>
    </row>
    <row r="7" spans="1:5" x14ac:dyDescent="0.3">
      <c r="A7" s="558" t="s">
        <v>209</v>
      </c>
      <c r="B7" s="559" t="s">
        <v>60</v>
      </c>
      <c r="C7" s="560" t="s">
        <v>61</v>
      </c>
      <c r="D7" s="561" t="s">
        <v>235</v>
      </c>
      <c r="E7" s="562" t="s">
        <v>211</v>
      </c>
    </row>
    <row r="8" spans="1:5" x14ac:dyDescent="0.3">
      <c r="A8" s="558"/>
      <c r="B8" s="559"/>
      <c r="C8" s="560"/>
      <c r="D8" s="561"/>
      <c r="E8" s="562"/>
    </row>
    <row r="9" spans="1:5" x14ac:dyDescent="0.3">
      <c r="A9" s="156" t="s">
        <v>72</v>
      </c>
      <c r="B9" s="344">
        <v>1</v>
      </c>
      <c r="C9" s="345">
        <v>174</v>
      </c>
      <c r="D9" s="344">
        <v>2</v>
      </c>
      <c r="E9" s="200">
        <f>B9*C9*D9</f>
        <v>348</v>
      </c>
    </row>
    <row r="10" spans="1:5" x14ac:dyDescent="0.3">
      <c r="A10" s="156" t="s">
        <v>71</v>
      </c>
      <c r="B10" s="344">
        <v>2</v>
      </c>
      <c r="C10" s="345">
        <v>174</v>
      </c>
      <c r="D10" s="344">
        <v>3</v>
      </c>
      <c r="E10" s="200">
        <f t="shared" ref="E10:E11" si="0">B10*C10*D10</f>
        <v>1044</v>
      </c>
    </row>
    <row r="11" spans="1:5" x14ac:dyDescent="0.3">
      <c r="A11" s="156" t="s">
        <v>73</v>
      </c>
      <c r="B11" s="344">
        <v>1</v>
      </c>
      <c r="C11" s="345">
        <v>174</v>
      </c>
      <c r="D11" s="344">
        <v>5</v>
      </c>
      <c r="E11" s="200">
        <f t="shared" si="0"/>
        <v>870</v>
      </c>
    </row>
    <row r="12" spans="1:5" x14ac:dyDescent="0.3">
      <c r="A12" s="157" t="s">
        <v>65</v>
      </c>
      <c r="B12" s="197">
        <f>SUM(B9:B11)</f>
        <v>4</v>
      </c>
      <c r="C12" s="199">
        <f>B9*C9+B10*C10+B11*C11</f>
        <v>696</v>
      </c>
      <c r="D12" s="197"/>
      <c r="E12" s="201">
        <f>SUM(E9:E11)</f>
        <v>2262</v>
      </c>
    </row>
    <row r="13" spans="1:5" ht="16.2" thickBot="1" x14ac:dyDescent="0.35">
      <c r="A13" s="158" t="s">
        <v>210</v>
      </c>
      <c r="B13" s="159"/>
      <c r="C13" s="198">
        <f>((B9*C9)+(B10*C10)+(B11*C11))/B12</f>
        <v>174</v>
      </c>
      <c r="D13" s="198">
        <f>(D9+D10+D10+D11)/B12</f>
        <v>3.25</v>
      </c>
      <c r="E13" s="160"/>
    </row>
    <row r="14" spans="1:5" ht="16.2" thickBot="1" x14ac:dyDescent="0.35">
      <c r="A14" s="154"/>
      <c r="B14" s="154"/>
      <c r="C14" s="154"/>
      <c r="D14" s="154"/>
    </row>
    <row r="15" spans="1:5" x14ac:dyDescent="0.3">
      <c r="A15" s="150" t="s">
        <v>213</v>
      </c>
      <c r="B15" s="151"/>
      <c r="C15" s="565" t="s">
        <v>207</v>
      </c>
      <c r="D15" s="565" t="s">
        <v>286</v>
      </c>
      <c r="E15" s="563" t="s">
        <v>293</v>
      </c>
    </row>
    <row r="16" spans="1:5" x14ac:dyDescent="0.3">
      <c r="A16" s="156"/>
      <c r="B16" s="154"/>
      <c r="C16" s="566"/>
      <c r="D16" s="566"/>
      <c r="E16" s="564"/>
    </row>
    <row r="17" spans="1:5" ht="16.2" thickBot="1" x14ac:dyDescent="0.35">
      <c r="A17" s="475" t="s">
        <v>74</v>
      </c>
      <c r="B17" s="476">
        <v>0.5</v>
      </c>
      <c r="C17" s="198">
        <f>E12*B17</f>
        <v>1131</v>
      </c>
      <c r="D17" s="495">
        <f>C17/D13</f>
        <v>348</v>
      </c>
      <c r="E17" s="496">
        <v>29</v>
      </c>
    </row>
    <row r="18" spans="1:5" ht="16.2" thickBot="1" x14ac:dyDescent="0.35"/>
    <row r="19" spans="1:5" x14ac:dyDescent="0.3">
      <c r="A19" s="162" t="s">
        <v>214</v>
      </c>
      <c r="B19" s="202" t="s">
        <v>259</v>
      </c>
      <c r="C19" s="202"/>
      <c r="D19" s="202"/>
      <c r="E19" s="203"/>
    </row>
    <row r="20" spans="1:5" x14ac:dyDescent="0.3">
      <c r="A20" s="153" t="s">
        <v>215</v>
      </c>
      <c r="B20" s="163">
        <f>D20/52</f>
        <v>4.187326923076923</v>
      </c>
      <c r="C20" s="140" t="s">
        <v>188</v>
      </c>
      <c r="D20" s="163">
        <f>'5) Ergebnis DB ausführlich'!C70</f>
        <v>217.74099999999999</v>
      </c>
      <c r="E20" s="164" t="s">
        <v>219</v>
      </c>
    </row>
    <row r="21" spans="1:5" x14ac:dyDescent="0.3">
      <c r="A21" s="161" t="s">
        <v>216</v>
      </c>
      <c r="B21" s="346">
        <v>0</v>
      </c>
      <c r="C21" s="132" t="s">
        <v>188</v>
      </c>
      <c r="D21" s="132">
        <f>B21*52</f>
        <v>0</v>
      </c>
      <c r="E21" s="155" t="s">
        <v>219</v>
      </c>
    </row>
    <row r="22" spans="1:5" x14ac:dyDescent="0.3">
      <c r="A22" s="161" t="s">
        <v>217</v>
      </c>
      <c r="B22" s="346">
        <v>0</v>
      </c>
      <c r="C22" s="132" t="s">
        <v>188</v>
      </c>
      <c r="D22" s="132">
        <f>B22*52</f>
        <v>0</v>
      </c>
      <c r="E22" s="155" t="s">
        <v>219</v>
      </c>
    </row>
    <row r="23" spans="1:5" ht="16.2" thickBot="1" x14ac:dyDescent="0.35">
      <c r="A23" s="165" t="s">
        <v>218</v>
      </c>
      <c r="B23" s="166">
        <f>B20-B21-B22</f>
        <v>4.187326923076923</v>
      </c>
      <c r="C23" s="167" t="s">
        <v>188</v>
      </c>
      <c r="D23" s="166">
        <f>B23*52</f>
        <v>217.74099999999999</v>
      </c>
      <c r="E23" s="160" t="s">
        <v>219</v>
      </c>
    </row>
    <row r="24" spans="1:5" ht="16.2" thickBot="1" x14ac:dyDescent="0.35"/>
    <row r="25" spans="1:5" ht="66" customHeight="1" x14ac:dyDescent="0.3">
      <c r="A25" s="477" t="s">
        <v>230</v>
      </c>
      <c r="B25" s="168"/>
      <c r="C25" s="168"/>
      <c r="D25" s="483" t="s">
        <v>301</v>
      </c>
      <c r="E25" s="204" t="s">
        <v>200</v>
      </c>
    </row>
    <row r="26" spans="1:5" ht="16.2" thickBot="1" x14ac:dyDescent="0.35">
      <c r="A26" s="165" t="s">
        <v>117</v>
      </c>
      <c r="B26" s="347">
        <v>20</v>
      </c>
      <c r="C26" s="167" t="s">
        <v>114</v>
      </c>
      <c r="D26" s="348" t="b">
        <v>0</v>
      </c>
      <c r="E26" s="349" t="b">
        <v>0</v>
      </c>
    </row>
    <row r="28" spans="1:5" ht="15.6" customHeight="1" x14ac:dyDescent="0.3">
      <c r="A28" s="557" t="s">
        <v>248</v>
      </c>
      <c r="B28" s="557"/>
      <c r="C28" s="557"/>
      <c r="D28" s="557"/>
      <c r="E28" s="557"/>
    </row>
    <row r="29" spans="1:5" x14ac:dyDescent="0.3">
      <c r="A29" s="557"/>
      <c r="B29" s="557"/>
      <c r="C29" s="557"/>
      <c r="D29" s="557"/>
      <c r="E29" s="557"/>
    </row>
    <row r="37" spans="1:1" x14ac:dyDescent="0.3">
      <c r="A37" s="25" t="s">
        <v>303</v>
      </c>
    </row>
  </sheetData>
  <sheetProtection algorithmName="SHA-512" hashValue="y7wmpyeSuRzig3rKaXAwl5WNEpbXo0Umb1YPan50pElUzW3vEBRkox93Ky8k4wKnEP2t89GJkZUxiTz513H1TA==" saltValue="U9cwR9qd18mMsl5Bn6kLwQ==" spinCount="100000" sheet="1" selectLockedCells="1"/>
  <mergeCells count="9">
    <mergeCell ref="A28:E29"/>
    <mergeCell ref="A7:A8"/>
    <mergeCell ref="B7:B8"/>
    <mergeCell ref="C7:C8"/>
    <mergeCell ref="D7:D8"/>
    <mergeCell ref="E7:E8"/>
    <mergeCell ref="E15:E16"/>
    <mergeCell ref="D15:D16"/>
    <mergeCell ref="C15:C16"/>
  </mergeCells>
  <pageMargins left="0.70866141732283472" right="0.70866141732283472" top="0.78740157480314965" bottom="0.19685039370078741" header="0.31496062992125984" footer="0.31496062992125984"/>
  <pageSetup paperSize="9" scale="82" orientation="landscape" horizontalDpi="300" r:id="rId1"/>
  <ignoredErrors>
    <ignoredError sqref="A4 D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754380</xdr:colOff>
                    <xdr:row>2</xdr:row>
                    <xdr:rowOff>190500</xdr:rowOff>
                  </from>
                  <to>
                    <xdr:col>0</xdr:col>
                    <xdr:colOff>1021080</xdr:colOff>
                    <xdr:row>4</xdr:row>
                    <xdr:rowOff>7620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xdr:col>
                    <xdr:colOff>350520</xdr:colOff>
                    <xdr:row>24</xdr:row>
                    <xdr:rowOff>830580</xdr:rowOff>
                  </from>
                  <to>
                    <xdr:col>3</xdr:col>
                    <xdr:colOff>617220</xdr:colOff>
                    <xdr:row>26</xdr:row>
                    <xdr:rowOff>22860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4</xdr:col>
                    <xdr:colOff>883920</xdr:colOff>
                    <xdr:row>24</xdr:row>
                    <xdr:rowOff>830580</xdr:rowOff>
                  </from>
                  <to>
                    <xdr:col>4</xdr:col>
                    <xdr:colOff>1150620</xdr:colOff>
                    <xdr:row>26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896F-3AAB-4C6A-8177-E5D846854F82}">
  <sheetPr>
    <pageSetUpPr fitToPage="1"/>
  </sheetPr>
  <dimension ref="A1:H36"/>
  <sheetViews>
    <sheetView showGridLines="0" zoomScale="90" zoomScaleNormal="90" workbookViewId="0">
      <selection activeCell="A37" sqref="A37"/>
    </sheetView>
  </sheetViews>
  <sheetFormatPr baseColWidth="10" defaultColWidth="11.5546875" defaultRowHeight="14.4" x14ac:dyDescent="0.3"/>
  <cols>
    <col min="1" max="1" width="3.44140625" style="5" customWidth="1"/>
    <col min="2" max="2" width="45.33203125" style="5" customWidth="1"/>
    <col min="3" max="3" width="19" style="5" customWidth="1"/>
    <col min="4" max="4" width="13.88671875" style="5" customWidth="1"/>
    <col min="5" max="5" width="16.5546875" style="5" customWidth="1"/>
    <col min="6" max="6" width="4.5546875" style="5" customWidth="1"/>
    <col min="7" max="7" width="9" style="5" bestFit="1" customWidth="1"/>
    <col min="8" max="8" width="17.109375" style="5" customWidth="1"/>
    <col min="9" max="9" width="6.109375" style="5" customWidth="1"/>
    <col min="10" max="16384" width="11.5546875" style="5"/>
  </cols>
  <sheetData>
    <row r="1" spans="1:8" x14ac:dyDescent="0.3">
      <c r="B1" s="310" t="s">
        <v>279</v>
      </c>
      <c r="C1" s="311"/>
      <c r="D1" s="311"/>
      <c r="E1" s="311"/>
      <c r="F1" s="311"/>
      <c r="G1" s="311"/>
      <c r="H1" s="311"/>
    </row>
    <row r="2" spans="1:8" ht="14.4" customHeight="1" x14ac:dyDescent="0.3">
      <c r="B2" s="40"/>
    </row>
    <row r="3" spans="1:8" ht="15.6" x14ac:dyDescent="0.3">
      <c r="B3" s="127" t="s">
        <v>187</v>
      </c>
      <c r="C3" s="128"/>
      <c r="D3" s="467">
        <f>'5) Ergebnis DB ausführlich'!E23</f>
        <v>10092</v>
      </c>
      <c r="E3" s="127" t="s">
        <v>67</v>
      </c>
      <c r="F3" s="128"/>
      <c r="G3" s="130">
        <f>'5) Ergebnis DB ausführlich'!H23</f>
        <v>29</v>
      </c>
      <c r="H3" s="127" t="s">
        <v>285</v>
      </c>
    </row>
    <row r="4" spans="1:8" ht="15.6" x14ac:dyDescent="0.3">
      <c r="A4" s="126" t="s">
        <v>223</v>
      </c>
      <c r="B4" s="131" t="s">
        <v>229</v>
      </c>
      <c r="C4" s="132"/>
      <c r="D4" s="468">
        <f>'5) Ergebnis DB ausführlich'!E30+'5) Ergebnis DB ausführlich'!E50+'5) Ergebnis DB ausführlich'!E57+'5) Ergebnis DB ausführlich'!E75+'5) Ergebnis DB ausführlich'!E80</f>
        <v>5740.5432000000001</v>
      </c>
      <c r="E4" s="127" t="s">
        <v>67</v>
      </c>
      <c r="F4" s="132"/>
      <c r="G4" s="130">
        <f>'5) Ergebnis DB ausführlich'!H82</f>
        <v>16.495813793103448</v>
      </c>
      <c r="H4" s="127" t="s">
        <v>285</v>
      </c>
    </row>
    <row r="5" spans="1:8" ht="4.2" customHeight="1" x14ac:dyDescent="0.3">
      <c r="B5" s="132"/>
      <c r="C5" s="128"/>
      <c r="D5" s="469"/>
      <c r="E5" s="128"/>
      <c r="F5" s="128"/>
      <c r="G5" s="130"/>
      <c r="H5" s="129"/>
    </row>
    <row r="6" spans="1:8" ht="15.6" x14ac:dyDescent="0.3">
      <c r="A6" s="126" t="s">
        <v>69</v>
      </c>
      <c r="B6" s="134" t="s">
        <v>175</v>
      </c>
      <c r="C6" s="134"/>
      <c r="D6" s="470">
        <f>'5) Ergebnis DB ausführlich'!E84</f>
        <v>4351.4567999999999</v>
      </c>
      <c r="E6" s="136" t="s">
        <v>67</v>
      </c>
      <c r="F6" s="132"/>
      <c r="G6" s="135">
        <f>G3-G4</f>
        <v>12.504186206896552</v>
      </c>
      <c r="H6" s="134" t="s">
        <v>285</v>
      </c>
    </row>
    <row r="7" spans="1:8" ht="15.6" x14ac:dyDescent="0.3">
      <c r="B7" s="128"/>
      <c r="C7" s="128"/>
      <c r="D7" s="137"/>
      <c r="E7" s="132"/>
      <c r="F7" s="132"/>
      <c r="G7" s="131"/>
      <c r="H7" s="138"/>
    </row>
    <row r="8" spans="1:8" ht="15.6" x14ac:dyDescent="0.3">
      <c r="B8" s="139" t="s">
        <v>191</v>
      </c>
      <c r="C8" s="132"/>
      <c r="D8" s="144">
        <f>'5) Ergebnis DB ausführlich'!J94+'5) Ergebnis DB ausführlich'!J102+'5) Ergebnis DB ausführlich'!J104</f>
        <v>0</v>
      </c>
      <c r="E8" s="127" t="s">
        <v>67</v>
      </c>
      <c r="F8" s="132"/>
      <c r="G8" s="133">
        <f>'5) Ergebnis DB ausführlich'!M106</f>
        <v>0</v>
      </c>
      <c r="H8" s="127" t="s">
        <v>285</v>
      </c>
    </row>
    <row r="9" spans="1:8" ht="15.6" x14ac:dyDescent="0.3">
      <c r="B9" s="140" t="s">
        <v>84</v>
      </c>
      <c r="C9" s="132"/>
      <c r="D9" s="144">
        <f>'5) Ergebnis DB ausführlich'!J113</f>
        <v>0</v>
      </c>
      <c r="E9" s="127" t="s">
        <v>67</v>
      </c>
      <c r="F9" s="132"/>
      <c r="G9" s="133">
        <f>'5) Ergebnis DB ausführlich'!M113</f>
        <v>0</v>
      </c>
      <c r="H9" s="127" t="s">
        <v>285</v>
      </c>
    </row>
    <row r="10" spans="1:8" ht="15.6" x14ac:dyDescent="0.3">
      <c r="B10" s="140" t="s">
        <v>172</v>
      </c>
      <c r="C10" s="132"/>
      <c r="D10" s="144">
        <f>'5) Ergebnis DB ausführlich'!J125</f>
        <v>545.428</v>
      </c>
      <c r="E10" s="127" t="s">
        <v>67</v>
      </c>
      <c r="F10" s="132"/>
      <c r="G10" s="133">
        <f>'5) Ergebnis DB ausführlich'!M125</f>
        <v>1.5673218390804597</v>
      </c>
      <c r="H10" s="127" t="s">
        <v>285</v>
      </c>
    </row>
    <row r="11" spans="1:8" ht="6" customHeight="1" x14ac:dyDescent="0.3">
      <c r="B11" s="132"/>
      <c r="C11" s="132"/>
      <c r="D11" s="471"/>
      <c r="E11" s="132"/>
      <c r="F11" s="132"/>
      <c r="G11" s="140"/>
      <c r="H11" s="127"/>
    </row>
    <row r="12" spans="1:8" ht="15.6" x14ac:dyDescent="0.3">
      <c r="A12" s="126" t="s">
        <v>69</v>
      </c>
      <c r="B12" s="141" t="s">
        <v>89</v>
      </c>
      <c r="C12" s="142"/>
      <c r="D12" s="472">
        <f>D6-D8-D9-D10</f>
        <v>3806.0288</v>
      </c>
      <c r="E12" s="134" t="s">
        <v>67</v>
      </c>
      <c r="F12" s="132"/>
      <c r="G12" s="143">
        <f>G6-G8-G9-G10</f>
        <v>10.936864367816092</v>
      </c>
      <c r="H12" s="134" t="s">
        <v>285</v>
      </c>
    </row>
    <row r="13" spans="1:8" ht="7.95" customHeight="1" x14ac:dyDescent="0.3">
      <c r="B13" s="132"/>
      <c r="C13" s="132"/>
      <c r="D13" s="132"/>
      <c r="E13" s="132"/>
      <c r="F13" s="133"/>
      <c r="G13" s="140"/>
      <c r="H13" s="140"/>
    </row>
    <row r="14" spans="1:8" ht="15.6" x14ac:dyDescent="0.3">
      <c r="B14" s="140" t="s">
        <v>182</v>
      </c>
      <c r="C14" s="132"/>
      <c r="D14" s="132"/>
      <c r="E14" s="132"/>
      <c r="F14" s="133"/>
      <c r="G14" s="140"/>
      <c r="H14" s="140"/>
    </row>
    <row r="15" spans="1:8" ht="15.6" x14ac:dyDescent="0.3">
      <c r="B15" s="140" t="s">
        <v>240</v>
      </c>
      <c r="C15" s="140"/>
      <c r="D15" s="144">
        <f>'5) Ergebnis DB ausführlich'!J137</f>
        <v>0</v>
      </c>
      <c r="E15" s="140" t="s">
        <v>92</v>
      </c>
      <c r="F15" s="132"/>
      <c r="G15" s="133">
        <f>'5) Ergebnis DB ausführlich'!M137</f>
        <v>0</v>
      </c>
      <c r="H15" s="127" t="s">
        <v>285</v>
      </c>
    </row>
    <row r="16" spans="1:8" ht="15.6" x14ac:dyDescent="0.3">
      <c r="B16" s="140" t="s">
        <v>95</v>
      </c>
      <c r="C16" s="140"/>
      <c r="D16" s="468">
        <f>'5) Ergebnis DB ausführlich'!J142</f>
        <v>5225.7839999999997</v>
      </c>
      <c r="E16" s="140" t="s">
        <v>92</v>
      </c>
      <c r="F16" s="132"/>
      <c r="G16" s="133">
        <f>'5) Ergebnis DB ausführlich'!M142</f>
        <v>15.016620689655172</v>
      </c>
      <c r="H16" s="127" t="s">
        <v>285</v>
      </c>
    </row>
    <row r="17" spans="2:8" ht="15.6" x14ac:dyDescent="0.3">
      <c r="B17" s="140" t="s">
        <v>96</v>
      </c>
      <c r="C17" s="140"/>
      <c r="D17" s="473">
        <v>0</v>
      </c>
      <c r="E17" s="140" t="s">
        <v>92</v>
      </c>
      <c r="F17" s="132"/>
      <c r="G17" s="133">
        <f>'5) Ergebnis DB ausführlich'!M144</f>
        <v>0</v>
      </c>
      <c r="H17" s="127" t="s">
        <v>285</v>
      </c>
    </row>
    <row r="18" spans="2:8" ht="7.95" customHeight="1" x14ac:dyDescent="0.3">
      <c r="B18" s="140"/>
      <c r="C18" s="140"/>
      <c r="D18" s="468"/>
      <c r="E18" s="140"/>
      <c r="F18" s="132"/>
      <c r="G18" s="140"/>
      <c r="H18" s="140"/>
    </row>
    <row r="19" spans="2:8" ht="15.6" x14ac:dyDescent="0.3">
      <c r="B19" s="141" t="s">
        <v>180</v>
      </c>
      <c r="C19" s="142"/>
      <c r="D19" s="474">
        <f>D12-D15-D16-D17</f>
        <v>-1419.7551999999996</v>
      </c>
      <c r="E19" s="141" t="s">
        <v>92</v>
      </c>
      <c r="F19" s="132"/>
      <c r="G19" s="143">
        <f>G12-G15-G16-G17</f>
        <v>-4.0797563218390795</v>
      </c>
      <c r="H19" s="134" t="s">
        <v>285</v>
      </c>
    </row>
    <row r="20" spans="2:8" ht="15.6" x14ac:dyDescent="0.3">
      <c r="B20" s="132" t="s">
        <v>97</v>
      </c>
      <c r="C20" s="132"/>
      <c r="D20" s="132"/>
      <c r="E20" s="132"/>
      <c r="F20" s="132"/>
      <c r="G20" s="140"/>
      <c r="H20" s="140"/>
    </row>
    <row r="21" spans="2:8" ht="7.2" customHeight="1" x14ac:dyDescent="0.3">
      <c r="B21" s="132"/>
      <c r="C21" s="132"/>
      <c r="D21" s="132"/>
      <c r="E21" s="132"/>
      <c r="F21" s="132"/>
      <c r="G21" s="140"/>
      <c r="H21" s="140"/>
    </row>
    <row r="22" spans="2:8" ht="15.6" x14ac:dyDescent="0.3">
      <c r="B22" s="141" t="s">
        <v>181</v>
      </c>
      <c r="C22" s="142"/>
      <c r="D22" s="146">
        <f>'5) Ergebnis DB ausführlich'!J150</f>
        <v>-6.5203852283217207</v>
      </c>
      <c r="E22" s="141" t="s">
        <v>99</v>
      </c>
      <c r="F22" s="132"/>
      <c r="G22" s="143">
        <f>'5) Ergebnis DB ausführlich'!M150</f>
        <v>-1.8736739161844027E-2</v>
      </c>
      <c r="H22" s="134" t="s">
        <v>285</v>
      </c>
    </row>
    <row r="23" spans="2:8" ht="15.6" x14ac:dyDescent="0.3">
      <c r="B23" s="132" t="s">
        <v>98</v>
      </c>
      <c r="C23" s="132"/>
      <c r="D23" s="132"/>
      <c r="E23" s="132"/>
      <c r="F23" s="132"/>
      <c r="G23" s="140"/>
      <c r="H23" s="140"/>
    </row>
    <row r="24" spans="2:8" ht="15.6" x14ac:dyDescent="0.3">
      <c r="B24" s="132"/>
      <c r="C24" s="132"/>
      <c r="D24" s="132"/>
      <c r="E24" s="132"/>
      <c r="F24" s="132"/>
      <c r="G24" s="133"/>
      <c r="H24" s="140"/>
    </row>
    <row r="25" spans="2:8" ht="15.6" x14ac:dyDescent="0.3">
      <c r="B25" s="277" t="s">
        <v>176</v>
      </c>
      <c r="C25" s="278"/>
      <c r="D25" s="279"/>
      <c r="E25" s="280"/>
      <c r="F25" s="281"/>
      <c r="G25" s="277"/>
      <c r="H25" s="277"/>
    </row>
    <row r="26" spans="2:8" ht="15.6" x14ac:dyDescent="0.3">
      <c r="B26" s="282" t="s">
        <v>220</v>
      </c>
      <c r="C26" s="278"/>
      <c r="D26" s="279"/>
      <c r="E26" s="280"/>
      <c r="F26" s="281"/>
      <c r="G26" s="283">
        <f>'5) Ergebnis DB ausführlich'!E154</f>
        <v>16.495813793103448</v>
      </c>
      <c r="H26" s="278" t="s">
        <v>285</v>
      </c>
    </row>
    <row r="27" spans="2:8" ht="15.6" x14ac:dyDescent="0.3">
      <c r="B27" s="282" t="s">
        <v>221</v>
      </c>
      <c r="C27" s="284"/>
      <c r="D27" s="284"/>
      <c r="E27" s="284"/>
      <c r="F27" s="284"/>
      <c r="G27" s="283">
        <f>'5) Ergebnis DB ausführlich'!E155</f>
        <v>18.063135632183908</v>
      </c>
      <c r="H27" s="278" t="s">
        <v>285</v>
      </c>
    </row>
    <row r="28" spans="2:8" ht="15.6" x14ac:dyDescent="0.3">
      <c r="B28" s="282" t="s">
        <v>222</v>
      </c>
      <c r="C28" s="284"/>
      <c r="D28" s="284"/>
      <c r="E28" s="284"/>
      <c r="F28" s="284"/>
      <c r="G28" s="283">
        <f>'5) Ergebnis DB ausführlich'!E156</f>
        <v>33.079756321839078</v>
      </c>
      <c r="H28" s="278" t="s">
        <v>285</v>
      </c>
    </row>
    <row r="36" spans="1:1" x14ac:dyDescent="0.3">
      <c r="A36" s="25" t="s">
        <v>303</v>
      </c>
    </row>
  </sheetData>
  <sheetProtection algorithmName="SHA-512" hashValue="RLoZQ41IvYoLiy+XIesNFUBRevr6+vyicBqFD6pPwYrfhfKDRTsn/3orHrj9p44+MVA1fZ1xi3bmbS7QF/wbxQ==" saltValue="RTT3LkIIV5/o1nLXaRoj3w==" spinCount="100000" sheet="1" selectLockedCells="1"/>
  <pageMargins left="0.70866141732283472" right="0.70866141732283472" top="0.78740157480314965" bottom="0.78740157480314965" header="0.31496062992125984" footer="0.31496062992125984"/>
  <pageSetup paperSize="9" scale="94" orientation="landscape" horizontalDpi="3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9AB3C-3B98-49BA-92F1-BC61C689227D}">
  <sheetPr>
    <tabColor theme="4" tint="0.59999389629810485"/>
    <pageSetUpPr fitToPage="1"/>
  </sheetPr>
  <dimension ref="A1:M98"/>
  <sheetViews>
    <sheetView showGridLines="0" showZeros="0" zoomScale="70" zoomScaleNormal="70" workbookViewId="0">
      <selection activeCell="A66" sqref="A66"/>
    </sheetView>
  </sheetViews>
  <sheetFormatPr baseColWidth="10" defaultColWidth="11.5546875" defaultRowHeight="15.6" x14ac:dyDescent="0.3"/>
  <cols>
    <col min="1" max="1" width="11.5546875" style="149"/>
    <col min="2" max="2" width="45.33203125" style="149" customWidth="1"/>
    <col min="3" max="3" width="26.44140625" style="149" bestFit="1" customWidth="1"/>
    <col min="4" max="4" width="13.88671875" style="149" customWidth="1"/>
    <col min="5" max="5" width="15.33203125" style="149" customWidth="1"/>
    <col min="6" max="6" width="11.5546875" style="149" customWidth="1"/>
    <col min="7" max="7" width="42.88671875" style="149" customWidth="1"/>
    <col min="8" max="8" width="35.109375" style="149" customWidth="1"/>
    <col min="9" max="9" width="34.109375" style="149" customWidth="1"/>
    <col min="10" max="10" width="33.6640625" style="149" customWidth="1"/>
    <col min="11" max="11" width="17" style="149" customWidth="1"/>
    <col min="12" max="16384" width="11.5546875" style="149"/>
  </cols>
  <sheetData>
    <row r="1" spans="1:12" x14ac:dyDescent="0.3">
      <c r="A1" s="148"/>
      <c r="B1" s="148"/>
      <c r="C1" s="148"/>
      <c r="D1" s="148"/>
      <c r="E1" s="148"/>
      <c r="F1" s="148"/>
      <c r="G1" s="148"/>
      <c r="H1" s="148"/>
      <c r="I1" s="148"/>
      <c r="J1" s="148"/>
      <c r="K1" s="148"/>
      <c r="L1" s="148"/>
    </row>
    <row r="2" spans="1:12" x14ac:dyDescent="0.3">
      <c r="A2" s="148"/>
      <c r="B2" s="316"/>
      <c r="C2" s="148"/>
      <c r="D2" s="148"/>
      <c r="E2" s="148"/>
      <c r="F2" s="148"/>
      <c r="G2" s="148"/>
      <c r="H2" s="148"/>
      <c r="I2" s="148"/>
      <c r="J2" s="148"/>
      <c r="K2" s="148"/>
      <c r="L2" s="148"/>
    </row>
    <row r="3" spans="1:12" x14ac:dyDescent="0.3">
      <c r="A3" s="148"/>
      <c r="B3" s="317"/>
      <c r="C3" s="318"/>
      <c r="D3" s="319"/>
      <c r="E3" s="317"/>
      <c r="F3" s="320"/>
      <c r="G3" s="321"/>
      <c r="H3" s="318"/>
      <c r="I3" s="148"/>
      <c r="J3" s="148"/>
      <c r="K3" s="148"/>
      <c r="L3" s="148"/>
    </row>
    <row r="4" spans="1:12" x14ac:dyDescent="0.3">
      <c r="A4" s="148"/>
      <c r="B4" s="316"/>
      <c r="C4" s="318"/>
      <c r="D4" s="322"/>
      <c r="E4" s="317"/>
      <c r="F4" s="320"/>
      <c r="G4" s="321"/>
      <c r="H4" s="318"/>
      <c r="I4" s="148"/>
      <c r="J4" s="148"/>
      <c r="K4" s="148"/>
      <c r="L4" s="148"/>
    </row>
    <row r="5" spans="1:12" x14ac:dyDescent="0.3">
      <c r="A5" s="148"/>
      <c r="B5" s="317"/>
      <c r="C5" s="317"/>
      <c r="D5" s="323"/>
      <c r="E5" s="319"/>
      <c r="F5" s="320"/>
      <c r="G5" s="321"/>
      <c r="H5" s="324"/>
      <c r="I5" s="148"/>
      <c r="J5" s="148"/>
      <c r="K5" s="148"/>
      <c r="L5" s="148"/>
    </row>
    <row r="6" spans="1:12" x14ac:dyDescent="0.3">
      <c r="A6" s="148"/>
      <c r="B6" s="317"/>
      <c r="C6" s="318"/>
      <c r="D6" s="319"/>
      <c r="E6" s="317"/>
      <c r="F6" s="320"/>
      <c r="G6" s="321"/>
      <c r="H6" s="318"/>
      <c r="I6" s="148"/>
      <c r="J6" s="148"/>
      <c r="K6" s="148"/>
      <c r="L6" s="148"/>
    </row>
    <row r="7" spans="1:12" x14ac:dyDescent="0.3">
      <c r="A7" s="148"/>
      <c r="B7" s="317"/>
      <c r="C7" s="148"/>
      <c r="D7" s="325"/>
      <c r="E7" s="148"/>
      <c r="F7" s="320"/>
      <c r="G7" s="321"/>
      <c r="H7" s="148"/>
      <c r="I7" s="148"/>
      <c r="J7" s="148"/>
      <c r="K7" s="148"/>
      <c r="L7" s="148"/>
    </row>
    <row r="8" spans="1:12" ht="4.2" customHeight="1" x14ac:dyDescent="0.3">
      <c r="A8" s="148"/>
      <c r="B8" s="148"/>
      <c r="C8" s="318"/>
      <c r="D8" s="317"/>
      <c r="E8" s="318"/>
      <c r="F8" s="321"/>
      <c r="G8" s="321"/>
      <c r="H8" s="319"/>
      <c r="I8" s="148"/>
      <c r="J8" s="148"/>
      <c r="K8" s="148"/>
      <c r="L8" s="148"/>
    </row>
    <row r="9" spans="1:12" x14ac:dyDescent="0.3">
      <c r="A9" s="148"/>
      <c r="B9" s="317"/>
      <c r="C9" s="317"/>
      <c r="D9" s="323"/>
      <c r="E9" s="319"/>
      <c r="F9" s="320"/>
      <c r="G9" s="321"/>
      <c r="H9" s="324"/>
      <c r="I9" s="148"/>
      <c r="J9" s="148"/>
      <c r="K9" s="148"/>
      <c r="L9" s="148"/>
    </row>
    <row r="10" spans="1:12" x14ac:dyDescent="0.3">
      <c r="A10" s="148"/>
      <c r="B10" s="318"/>
      <c r="C10" s="318"/>
      <c r="D10" s="326"/>
      <c r="E10" s="148"/>
      <c r="F10" s="321"/>
      <c r="G10" s="321"/>
      <c r="H10" s="324"/>
      <c r="I10" s="148"/>
      <c r="J10" s="148"/>
      <c r="K10" s="148"/>
      <c r="L10" s="148"/>
    </row>
    <row r="11" spans="1:12" x14ac:dyDescent="0.3">
      <c r="A11" s="148"/>
      <c r="B11" s="327"/>
      <c r="C11" s="148"/>
      <c r="D11" s="328"/>
      <c r="E11" s="317"/>
      <c r="F11" s="320"/>
      <c r="G11" s="321"/>
      <c r="H11" s="328"/>
      <c r="I11" s="327"/>
      <c r="J11" s="148"/>
      <c r="K11" s="148"/>
      <c r="L11" s="148"/>
    </row>
    <row r="12" spans="1:12" x14ac:dyDescent="0.3">
      <c r="A12" s="148"/>
      <c r="B12" s="327"/>
      <c r="C12" s="148"/>
      <c r="D12" s="325"/>
      <c r="E12" s="317"/>
      <c r="F12" s="320"/>
      <c r="G12" s="321"/>
      <c r="H12" s="148"/>
      <c r="I12" s="148"/>
      <c r="J12" s="148"/>
      <c r="K12" s="148"/>
      <c r="L12" s="148"/>
    </row>
    <row r="13" spans="1:12" x14ac:dyDescent="0.3">
      <c r="A13" s="148"/>
      <c r="B13" s="327"/>
      <c r="C13" s="148"/>
      <c r="D13" s="325"/>
      <c r="E13" s="317"/>
      <c r="F13" s="320"/>
      <c r="G13" s="321"/>
      <c r="H13" s="148"/>
      <c r="I13" s="148"/>
      <c r="J13" s="148"/>
      <c r="K13" s="148"/>
      <c r="L13" s="148"/>
    </row>
    <row r="14" spans="1:12" x14ac:dyDescent="0.3">
      <c r="A14" s="148"/>
      <c r="B14" s="318"/>
      <c r="C14" s="318"/>
      <c r="D14" s="326"/>
      <c r="E14" s="148"/>
      <c r="F14" s="321"/>
      <c r="G14" s="321"/>
      <c r="H14" s="324"/>
      <c r="I14" s="148"/>
      <c r="J14" s="148"/>
      <c r="K14" s="148"/>
      <c r="L14" s="148"/>
    </row>
    <row r="15" spans="1:12" x14ac:dyDescent="0.3">
      <c r="A15" s="148"/>
      <c r="B15" s="327"/>
      <c r="C15" s="148"/>
      <c r="D15" s="325"/>
      <c r="E15" s="317"/>
      <c r="F15" s="320"/>
      <c r="G15" s="321"/>
      <c r="H15" s="148"/>
      <c r="I15" s="148"/>
      <c r="J15" s="148"/>
      <c r="K15" s="148"/>
      <c r="L15" s="148"/>
    </row>
    <row r="16" spans="1:12" ht="8.4" customHeight="1" x14ac:dyDescent="0.3">
      <c r="A16" s="148"/>
      <c r="B16" s="148"/>
      <c r="C16" s="148"/>
      <c r="D16" s="148"/>
      <c r="E16" s="148"/>
      <c r="F16" s="329"/>
      <c r="G16" s="321"/>
      <c r="H16" s="148"/>
      <c r="I16" s="327"/>
      <c r="J16" s="148"/>
      <c r="K16" s="148"/>
      <c r="L16" s="148"/>
    </row>
    <row r="17" spans="1:12" x14ac:dyDescent="0.3">
      <c r="A17" s="148"/>
      <c r="B17" s="330"/>
      <c r="C17" s="148"/>
      <c r="D17" s="148"/>
      <c r="E17" s="148"/>
      <c r="F17" s="321"/>
      <c r="G17" s="321"/>
      <c r="H17" s="148"/>
      <c r="I17" s="148"/>
      <c r="J17" s="148"/>
      <c r="K17" s="148"/>
      <c r="L17" s="148"/>
    </row>
    <row r="18" spans="1:12" x14ac:dyDescent="0.3">
      <c r="A18" s="148"/>
      <c r="B18" s="327"/>
      <c r="C18" s="327"/>
      <c r="D18" s="331"/>
      <c r="E18" s="327"/>
      <c r="F18" s="320"/>
      <c r="G18" s="321"/>
      <c r="H18" s="148"/>
      <c r="I18" s="148"/>
      <c r="J18" s="148"/>
      <c r="K18" s="148"/>
      <c r="L18" s="148"/>
    </row>
    <row r="19" spans="1:12" x14ac:dyDescent="0.3">
      <c r="A19" s="148"/>
      <c r="B19" s="327"/>
      <c r="C19" s="327"/>
      <c r="D19" s="329"/>
      <c r="E19" s="327"/>
      <c r="F19" s="320"/>
      <c r="G19" s="321"/>
      <c r="H19" s="148"/>
      <c r="I19" s="148"/>
      <c r="J19" s="148"/>
      <c r="K19" s="148"/>
      <c r="L19" s="148"/>
    </row>
    <row r="20" spans="1:12" x14ac:dyDescent="0.3">
      <c r="A20" s="148"/>
      <c r="B20" s="327"/>
      <c r="C20" s="327"/>
      <c r="D20" s="332"/>
      <c r="E20" s="327"/>
      <c r="F20" s="320"/>
      <c r="G20" s="321"/>
      <c r="H20" s="148"/>
      <c r="I20" s="148"/>
      <c r="J20" s="148"/>
      <c r="K20" s="148"/>
      <c r="L20" s="148"/>
    </row>
    <row r="21" spans="1:12" ht="7.95" customHeight="1" x14ac:dyDescent="0.3">
      <c r="A21" s="148"/>
      <c r="B21" s="327"/>
      <c r="C21" s="327"/>
      <c r="D21" s="331"/>
      <c r="E21" s="327"/>
      <c r="F21" s="321"/>
      <c r="G21" s="321"/>
      <c r="H21" s="148"/>
      <c r="I21" s="148"/>
      <c r="J21" s="148"/>
      <c r="K21" s="148"/>
      <c r="L21" s="148"/>
    </row>
    <row r="22" spans="1:12" x14ac:dyDescent="0.3">
      <c r="A22" s="148"/>
      <c r="B22" s="327"/>
      <c r="C22" s="148"/>
      <c r="D22" s="325"/>
      <c r="E22" s="327"/>
      <c r="F22" s="320"/>
      <c r="G22" s="321"/>
      <c r="H22" s="148"/>
      <c r="I22" s="148"/>
      <c r="J22" s="148"/>
      <c r="K22" s="148"/>
      <c r="L22" s="148"/>
    </row>
    <row r="23" spans="1:12" x14ac:dyDescent="0.3">
      <c r="A23" s="148"/>
      <c r="B23" s="148"/>
      <c r="C23" s="148"/>
      <c r="D23" s="148"/>
      <c r="E23" s="148"/>
      <c r="F23" s="148"/>
      <c r="G23" s="321"/>
      <c r="H23" s="148"/>
      <c r="I23" s="148"/>
      <c r="J23" s="148"/>
      <c r="K23" s="148"/>
      <c r="L23" s="148"/>
    </row>
    <row r="24" spans="1:12" ht="7.2" customHeight="1" x14ac:dyDescent="0.3">
      <c r="A24" s="148"/>
      <c r="B24" s="148"/>
      <c r="C24" s="148"/>
      <c r="D24" s="148"/>
      <c r="E24" s="148"/>
      <c r="F24" s="148"/>
      <c r="G24" s="321"/>
      <c r="H24" s="148"/>
      <c r="I24" s="148"/>
      <c r="J24" s="148"/>
      <c r="K24" s="148"/>
      <c r="L24" s="148"/>
    </row>
    <row r="25" spans="1:12" x14ac:dyDescent="0.3">
      <c r="A25" s="148"/>
      <c r="B25" s="327"/>
      <c r="C25" s="148"/>
      <c r="D25" s="332"/>
      <c r="E25" s="327"/>
      <c r="F25" s="333"/>
      <c r="G25" s="321"/>
      <c r="H25" s="148"/>
      <c r="I25" s="148"/>
      <c r="J25" s="148"/>
      <c r="K25" s="148"/>
      <c r="L25" s="148"/>
    </row>
    <row r="26" spans="1:12" x14ac:dyDescent="0.3">
      <c r="A26" s="148"/>
      <c r="B26" s="148"/>
      <c r="C26" s="148"/>
      <c r="D26" s="148"/>
      <c r="E26" s="148"/>
      <c r="F26" s="148"/>
      <c r="G26" s="321"/>
      <c r="H26" s="148"/>
      <c r="I26" s="148"/>
      <c r="J26" s="148"/>
      <c r="K26" s="148"/>
      <c r="L26" s="148"/>
    </row>
    <row r="27" spans="1:12" x14ac:dyDescent="0.3">
      <c r="A27" s="148"/>
      <c r="B27" s="148"/>
      <c r="C27" s="148"/>
      <c r="D27" s="148"/>
      <c r="E27" s="148"/>
      <c r="F27" s="148"/>
      <c r="G27" s="321"/>
      <c r="H27" s="148"/>
      <c r="I27" s="148"/>
      <c r="J27" s="148"/>
      <c r="K27" s="148"/>
      <c r="L27" s="148"/>
    </row>
    <row r="28" spans="1:12" x14ac:dyDescent="0.3">
      <c r="A28" s="148"/>
      <c r="B28" s="327"/>
      <c r="C28" s="317"/>
      <c r="D28" s="334"/>
      <c r="E28" s="148"/>
      <c r="F28" s="326"/>
      <c r="G28" s="321"/>
      <c r="H28" s="324"/>
      <c r="I28" s="148"/>
      <c r="J28" s="148"/>
      <c r="K28" s="148"/>
      <c r="L28" s="148"/>
    </row>
    <row r="29" spans="1:12" x14ac:dyDescent="0.3">
      <c r="A29" s="148"/>
      <c r="B29" s="327"/>
      <c r="C29" s="317"/>
      <c r="D29" s="332"/>
      <c r="E29" s="318"/>
      <c r="F29" s="326"/>
      <c r="G29" s="318"/>
      <c r="H29" s="324"/>
      <c r="I29" s="148"/>
      <c r="J29" s="148"/>
      <c r="K29" s="148"/>
      <c r="L29" s="148"/>
    </row>
    <row r="30" spans="1:12" x14ac:dyDescent="0.3">
      <c r="A30" s="148"/>
      <c r="B30" s="327"/>
      <c r="C30" s="148"/>
      <c r="D30" s="332"/>
      <c r="E30" s="318"/>
      <c r="F30" s="148"/>
      <c r="G30" s="148"/>
      <c r="H30" s="148"/>
      <c r="I30" s="148"/>
      <c r="J30" s="148"/>
      <c r="K30" s="148"/>
      <c r="L30" s="148"/>
    </row>
    <row r="31" spans="1:12" x14ac:dyDescent="0.3">
      <c r="A31" s="148"/>
      <c r="B31" s="327"/>
      <c r="C31" s="148"/>
      <c r="D31" s="332"/>
      <c r="E31" s="148"/>
      <c r="F31" s="148"/>
      <c r="G31" s="148"/>
      <c r="H31" s="148"/>
      <c r="I31" s="148"/>
      <c r="J31" s="148"/>
      <c r="K31" s="148"/>
      <c r="L31" s="148"/>
    </row>
    <row r="32" spans="1:12" x14ac:dyDescent="0.3">
      <c r="A32" s="148"/>
      <c r="B32" s="148"/>
      <c r="C32" s="148"/>
      <c r="D32" s="148"/>
      <c r="E32" s="148"/>
      <c r="F32" s="148"/>
      <c r="G32" s="148"/>
      <c r="H32" s="148"/>
      <c r="I32" s="148"/>
      <c r="J32" s="148"/>
      <c r="K32" s="148"/>
      <c r="L32" s="148"/>
    </row>
    <row r="33" spans="1:12" x14ac:dyDescent="0.3">
      <c r="A33" s="148"/>
      <c r="B33" s="148"/>
      <c r="C33" s="148"/>
      <c r="D33" s="148"/>
      <c r="E33" s="148"/>
      <c r="F33" s="148"/>
      <c r="G33" s="148"/>
      <c r="H33" s="148"/>
      <c r="I33" s="148"/>
      <c r="J33" s="148"/>
      <c r="K33" s="148"/>
      <c r="L33" s="148"/>
    </row>
    <row r="34" spans="1:12" x14ac:dyDescent="0.3">
      <c r="A34" s="148"/>
      <c r="B34" s="148"/>
      <c r="C34" s="148"/>
      <c r="D34" s="148"/>
      <c r="E34" s="148"/>
      <c r="F34" s="148"/>
      <c r="G34" s="148"/>
      <c r="H34" s="148"/>
      <c r="I34" s="148"/>
      <c r="J34" s="148"/>
      <c r="K34" s="148"/>
      <c r="L34" s="148"/>
    </row>
    <row r="35" spans="1:12" x14ac:dyDescent="0.3">
      <c r="A35" s="148"/>
      <c r="B35" s="148"/>
      <c r="C35" s="148"/>
      <c r="D35" s="148"/>
      <c r="E35" s="148"/>
      <c r="F35" s="148"/>
      <c r="G35" s="148"/>
      <c r="H35" s="148"/>
      <c r="I35" s="148"/>
      <c r="J35" s="148"/>
      <c r="K35" s="148"/>
      <c r="L35" s="148"/>
    </row>
    <row r="36" spans="1:12" x14ac:dyDescent="0.3">
      <c r="A36" s="148"/>
      <c r="B36" s="148"/>
      <c r="C36" s="148"/>
      <c r="D36" s="148"/>
      <c r="E36" s="148"/>
      <c r="F36" s="148"/>
      <c r="G36" s="148"/>
      <c r="H36" s="148"/>
      <c r="I36" s="148"/>
      <c r="J36" s="148"/>
      <c r="K36" s="148"/>
      <c r="L36" s="148"/>
    </row>
    <row r="37" spans="1:12" x14ac:dyDescent="0.3">
      <c r="A37" s="148"/>
      <c r="B37" s="148"/>
      <c r="C37" s="148"/>
      <c r="D37" s="148"/>
      <c r="E37" s="148"/>
      <c r="F37" s="148"/>
      <c r="G37" s="148"/>
      <c r="H37" s="148"/>
      <c r="I37" s="148"/>
      <c r="J37" s="148"/>
      <c r="K37" s="148"/>
      <c r="L37" s="148"/>
    </row>
    <row r="38" spans="1:12" x14ac:dyDescent="0.3">
      <c r="B38" s="148"/>
      <c r="C38" s="148"/>
      <c r="D38" s="148"/>
      <c r="E38" s="148"/>
      <c r="F38" s="148"/>
      <c r="G38" s="148"/>
      <c r="H38" s="148"/>
      <c r="I38" s="148"/>
      <c r="J38" s="148"/>
      <c r="K38" s="148"/>
      <c r="L38" s="148"/>
    </row>
    <row r="39" spans="1:12" x14ac:dyDescent="0.3">
      <c r="A39" s="148"/>
      <c r="B39" s="148"/>
      <c r="C39" s="148"/>
      <c r="D39" s="148"/>
      <c r="E39" s="148"/>
      <c r="F39" s="148"/>
      <c r="G39" s="148"/>
      <c r="H39" s="148"/>
      <c r="I39" s="148"/>
      <c r="J39" s="148"/>
      <c r="K39" s="148"/>
      <c r="L39" s="148"/>
    </row>
    <row r="40" spans="1:12" x14ac:dyDescent="0.3">
      <c r="A40" s="148"/>
      <c r="B40" s="148"/>
      <c r="C40" s="148"/>
      <c r="D40" s="148"/>
      <c r="E40" s="148"/>
      <c r="F40" s="148"/>
      <c r="G40" s="148"/>
      <c r="H40" s="148"/>
      <c r="I40" s="148"/>
      <c r="J40" s="148"/>
      <c r="K40" s="148"/>
      <c r="L40" s="148"/>
    </row>
    <row r="41" spans="1:12" x14ac:dyDescent="0.3">
      <c r="A41" s="148"/>
      <c r="B41" s="148"/>
      <c r="C41" s="148"/>
      <c r="D41" s="148"/>
      <c r="E41" s="148"/>
      <c r="F41" s="148"/>
      <c r="G41" s="148"/>
      <c r="H41" s="148"/>
      <c r="I41" s="148"/>
      <c r="J41" s="148"/>
      <c r="K41" s="148"/>
      <c r="L41" s="148"/>
    </row>
    <row r="42" spans="1:12" x14ac:dyDescent="0.3">
      <c r="A42" s="148"/>
      <c r="B42" s="148"/>
      <c r="C42" s="148"/>
      <c r="D42" s="148"/>
      <c r="E42" s="148"/>
      <c r="F42" s="148"/>
      <c r="G42" s="148"/>
      <c r="H42" s="148"/>
      <c r="I42" s="148"/>
      <c r="J42" s="148"/>
      <c r="K42" s="148"/>
      <c r="L42" s="148"/>
    </row>
    <row r="43" spans="1:12" x14ac:dyDescent="0.3">
      <c r="A43" s="148"/>
      <c r="B43" s="148"/>
      <c r="C43" s="148"/>
      <c r="D43" s="148"/>
      <c r="E43" s="148"/>
      <c r="F43" s="148"/>
      <c r="G43" s="148"/>
      <c r="H43" s="148"/>
      <c r="I43" s="148"/>
      <c r="J43" s="148"/>
      <c r="K43" s="148"/>
      <c r="L43" s="148"/>
    </row>
    <row r="44" spans="1:12" x14ac:dyDescent="0.3">
      <c r="A44" s="148"/>
      <c r="B44" s="148"/>
      <c r="C44" s="148"/>
      <c r="D44" s="148"/>
      <c r="E44" s="148"/>
      <c r="F44" s="148"/>
      <c r="G44" s="148"/>
      <c r="H44" s="148"/>
      <c r="I44" s="148"/>
      <c r="J44" s="148"/>
      <c r="K44" s="148"/>
      <c r="L44" s="148"/>
    </row>
    <row r="45" spans="1:12" x14ac:dyDescent="0.3">
      <c r="A45" s="148"/>
      <c r="B45" s="148"/>
      <c r="C45" s="148"/>
      <c r="D45" s="148"/>
      <c r="E45" s="148"/>
      <c r="F45" s="148"/>
      <c r="G45" s="148"/>
      <c r="H45" s="148"/>
      <c r="I45" s="148"/>
      <c r="J45" s="148"/>
      <c r="K45" s="148"/>
      <c r="L45" s="148"/>
    </row>
    <row r="46" spans="1:12" x14ac:dyDescent="0.3">
      <c r="A46" s="148"/>
      <c r="B46" s="148"/>
      <c r="C46" s="148"/>
      <c r="D46" s="148"/>
      <c r="E46" s="148"/>
      <c r="F46" s="148"/>
      <c r="G46" s="148"/>
      <c r="H46" s="148"/>
      <c r="I46" s="148"/>
      <c r="J46" s="148"/>
      <c r="K46" s="148"/>
      <c r="L46" s="148"/>
    </row>
    <row r="47" spans="1:12" x14ac:dyDescent="0.3">
      <c r="A47" s="148"/>
      <c r="B47" s="148"/>
      <c r="C47" s="148"/>
      <c r="D47" s="148"/>
      <c r="E47" s="148"/>
      <c r="F47" s="148"/>
      <c r="G47" s="148"/>
      <c r="H47" s="148"/>
      <c r="I47" s="148"/>
      <c r="J47" s="148"/>
      <c r="K47" s="148"/>
      <c r="L47" s="148"/>
    </row>
    <row r="48" spans="1:12" x14ac:dyDescent="0.3">
      <c r="A48" s="148"/>
      <c r="B48" s="148"/>
      <c r="C48" s="148"/>
      <c r="D48" s="148"/>
      <c r="E48" s="148"/>
      <c r="F48" s="148"/>
      <c r="G48" s="148"/>
      <c r="H48" s="148"/>
      <c r="I48" s="148"/>
      <c r="J48" s="148"/>
      <c r="K48" s="148"/>
      <c r="L48" s="148"/>
    </row>
    <row r="49" spans="1:12" x14ac:dyDescent="0.3">
      <c r="A49" s="148"/>
      <c r="B49" s="148"/>
      <c r="C49" s="148"/>
      <c r="D49" s="148"/>
      <c r="E49" s="148"/>
      <c r="F49" s="148"/>
      <c r="G49" s="148"/>
      <c r="H49" s="148"/>
      <c r="I49" s="148"/>
      <c r="J49" s="148"/>
      <c r="K49" s="148"/>
      <c r="L49" s="148"/>
    </row>
    <row r="50" spans="1:12" x14ac:dyDescent="0.3">
      <c r="A50" s="148"/>
      <c r="B50" s="148"/>
      <c r="C50" s="148"/>
      <c r="D50" s="148"/>
      <c r="E50" s="148"/>
      <c r="F50" s="148"/>
      <c r="G50" s="148"/>
      <c r="H50" s="148"/>
      <c r="I50" s="148"/>
      <c r="J50" s="148"/>
      <c r="K50" s="148"/>
      <c r="L50" s="148"/>
    </row>
    <row r="51" spans="1:12" x14ac:dyDescent="0.3">
      <c r="A51" s="148"/>
      <c r="B51" s="148"/>
      <c r="C51" s="148"/>
      <c r="D51" s="148"/>
      <c r="E51" s="148"/>
      <c r="F51" s="148"/>
      <c r="G51" s="148"/>
      <c r="H51" s="148"/>
      <c r="I51" s="148"/>
      <c r="J51" s="148"/>
      <c r="K51" s="148"/>
      <c r="L51" s="148"/>
    </row>
    <row r="52" spans="1:12" x14ac:dyDescent="0.3">
      <c r="A52" s="148"/>
      <c r="B52" s="148"/>
      <c r="C52" s="148"/>
      <c r="D52" s="148"/>
      <c r="E52" s="148"/>
      <c r="F52" s="148"/>
      <c r="G52" s="148"/>
      <c r="H52" s="148"/>
      <c r="I52" s="148"/>
      <c r="J52" s="148"/>
      <c r="K52" s="148"/>
      <c r="L52" s="148"/>
    </row>
    <row r="53" spans="1:12" x14ac:dyDescent="0.3">
      <c r="A53" s="148"/>
      <c r="B53" s="148"/>
      <c r="C53" s="148"/>
      <c r="D53" s="148"/>
      <c r="E53" s="148"/>
      <c r="F53" s="148"/>
      <c r="G53" s="148"/>
      <c r="H53" s="148"/>
      <c r="I53" s="148"/>
      <c r="J53" s="148"/>
      <c r="K53" s="148"/>
      <c r="L53" s="148"/>
    </row>
    <row r="54" spans="1:12" x14ac:dyDescent="0.3">
      <c r="A54" s="148"/>
      <c r="B54" s="148"/>
      <c r="C54" s="148"/>
      <c r="D54" s="148"/>
      <c r="E54" s="148"/>
      <c r="F54" s="148"/>
      <c r="G54" s="148"/>
      <c r="H54" s="148"/>
      <c r="I54" s="148"/>
      <c r="J54" s="148"/>
      <c r="K54" s="148"/>
      <c r="L54" s="148"/>
    </row>
    <row r="55" spans="1:12" x14ac:dyDescent="0.3">
      <c r="A55" s="148"/>
      <c r="B55" s="148"/>
      <c r="C55" s="148"/>
      <c r="D55" s="148"/>
      <c r="E55" s="148"/>
      <c r="F55" s="148"/>
      <c r="G55" s="148"/>
      <c r="H55" s="148"/>
      <c r="I55" s="148"/>
      <c r="J55" s="148"/>
      <c r="K55" s="148"/>
      <c r="L55" s="148"/>
    </row>
    <row r="56" spans="1:12" x14ac:dyDescent="0.3">
      <c r="A56" s="148"/>
      <c r="B56" s="148"/>
      <c r="C56" s="148"/>
      <c r="D56" s="148"/>
      <c r="E56" s="148"/>
      <c r="F56" s="148"/>
      <c r="G56" s="148"/>
      <c r="H56" s="148"/>
      <c r="I56" s="148"/>
      <c r="J56" s="148"/>
      <c r="K56" s="148"/>
      <c r="L56" s="148"/>
    </row>
    <row r="57" spans="1:12" x14ac:dyDescent="0.3">
      <c r="A57" s="148"/>
      <c r="B57" s="148"/>
      <c r="C57" s="148"/>
      <c r="D57" s="148"/>
      <c r="E57" s="148"/>
      <c r="F57" s="148"/>
      <c r="G57" s="148"/>
      <c r="H57" s="148"/>
      <c r="I57" s="148"/>
      <c r="J57" s="148"/>
      <c r="K57" s="148"/>
      <c r="L57" s="148"/>
    </row>
    <row r="58" spans="1:12" x14ac:dyDescent="0.3">
      <c r="A58" s="148"/>
      <c r="B58" s="148"/>
      <c r="C58" s="148"/>
      <c r="D58" s="148"/>
      <c r="E58" s="148"/>
      <c r="F58" s="148"/>
      <c r="G58" s="148"/>
      <c r="H58" s="148"/>
      <c r="I58" s="148"/>
      <c r="J58" s="148"/>
      <c r="K58" s="148"/>
      <c r="L58" s="148"/>
    </row>
    <row r="59" spans="1:12" x14ac:dyDescent="0.3">
      <c r="A59" s="148"/>
      <c r="B59" s="148"/>
      <c r="C59" s="148"/>
      <c r="D59" s="148"/>
      <c r="E59" s="148"/>
      <c r="F59" s="148"/>
      <c r="G59" s="148"/>
      <c r="H59" s="148"/>
      <c r="I59" s="148"/>
      <c r="J59" s="148"/>
      <c r="K59" s="148"/>
      <c r="L59" s="148"/>
    </row>
    <row r="65" spans="1:13" x14ac:dyDescent="0.3">
      <c r="A65" s="88" t="s">
        <v>281</v>
      </c>
    </row>
    <row r="73" spans="1:13" x14ac:dyDescent="0.3">
      <c r="C73" s="335"/>
      <c r="D73" s="335"/>
      <c r="E73" s="335"/>
    </row>
    <row r="77" spans="1:13" x14ac:dyDescent="0.3">
      <c r="J77" s="170"/>
    </row>
    <row r="78" spans="1:13" x14ac:dyDescent="0.3">
      <c r="K78" s="336"/>
      <c r="L78" s="336"/>
      <c r="M78" s="336"/>
    </row>
    <row r="79" spans="1:13" x14ac:dyDescent="0.3">
      <c r="K79" s="336"/>
      <c r="L79" s="336"/>
      <c r="M79" s="336"/>
    </row>
    <row r="80" spans="1:13" x14ac:dyDescent="0.3">
      <c r="K80" s="336"/>
      <c r="L80" s="336"/>
      <c r="M80" s="336"/>
    </row>
    <row r="81" spans="3:13" x14ac:dyDescent="0.3">
      <c r="K81" s="336"/>
      <c r="L81" s="336"/>
      <c r="M81" s="336"/>
    </row>
    <row r="82" spans="3:13" x14ac:dyDescent="0.3">
      <c r="K82" s="336"/>
      <c r="L82" s="336"/>
      <c r="M82" s="336"/>
    </row>
    <row r="83" spans="3:13" x14ac:dyDescent="0.3">
      <c r="K83" s="336"/>
      <c r="L83" s="336"/>
      <c r="M83" s="336"/>
    </row>
    <row r="84" spans="3:13" x14ac:dyDescent="0.3">
      <c r="K84" s="336"/>
      <c r="L84" s="336"/>
      <c r="M84" s="336"/>
    </row>
    <row r="85" spans="3:13" x14ac:dyDescent="0.3">
      <c r="K85" s="336"/>
      <c r="L85" s="336"/>
      <c r="M85" s="336"/>
    </row>
    <row r="86" spans="3:13" x14ac:dyDescent="0.3">
      <c r="K86" s="336"/>
      <c r="L86" s="336"/>
      <c r="M86" s="336"/>
    </row>
    <row r="87" spans="3:13" x14ac:dyDescent="0.3">
      <c r="C87" s="336"/>
      <c r="K87" s="336"/>
      <c r="L87" s="336"/>
      <c r="M87" s="336"/>
    </row>
    <row r="88" spans="3:13" x14ac:dyDescent="0.3">
      <c r="K88" s="336"/>
      <c r="L88" s="336"/>
      <c r="M88" s="335"/>
    </row>
    <row r="93" spans="3:13" x14ac:dyDescent="0.3">
      <c r="C93" s="335"/>
    </row>
    <row r="94" spans="3:13" x14ac:dyDescent="0.3">
      <c r="C94" s="335"/>
    </row>
    <row r="95" spans="3:13" x14ac:dyDescent="0.3">
      <c r="C95" s="335"/>
    </row>
    <row r="96" spans="3:13" x14ac:dyDescent="0.3">
      <c r="C96" s="335"/>
    </row>
    <row r="97" spans="3:3" x14ac:dyDescent="0.3">
      <c r="C97" s="335"/>
    </row>
    <row r="98" spans="3:3" x14ac:dyDescent="0.3">
      <c r="C98" s="335"/>
    </row>
  </sheetData>
  <sheetProtection algorithmName="SHA-512" hashValue="wnODUQqoDTTpnZaGs081WTdkALoLYmR3lIJZoIWEcCXNzMXwCGB+IbJYAsTmebvMLDdepqx380G/06ByIuU7xQ==" saltValue="7q++mCkrZr1hKQ4wyXv/JA==" spinCount="100000" sheet="1" selectLockedCells="1"/>
  <pageMargins left="0.70866141732283472" right="0.70866141732283472" top="0.78740157480314965" bottom="0.78740157480314965" header="0.31496062992125984" footer="0.31496062992125984"/>
  <pageSetup paperSize="9" scale="7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pageSetUpPr fitToPage="1"/>
  </sheetPr>
  <dimension ref="A1:O179"/>
  <sheetViews>
    <sheetView showGridLines="0" tabSelected="1" topLeftCell="A101" zoomScale="90" zoomScaleNormal="90" workbookViewId="0">
      <selection activeCell="C74" sqref="C74"/>
    </sheetView>
  </sheetViews>
  <sheetFormatPr baseColWidth="10" defaultColWidth="11.5546875" defaultRowHeight="14.4" x14ac:dyDescent="0.3"/>
  <cols>
    <col min="1" max="1" width="2.6640625" style="72" customWidth="1"/>
    <col min="2" max="2" width="39.33203125" style="72" customWidth="1"/>
    <col min="3" max="3" width="15.33203125" style="72" customWidth="1"/>
    <col min="4" max="4" width="19.88671875" style="72" customWidth="1"/>
    <col min="5" max="5" width="14.88671875" style="72" customWidth="1"/>
    <col min="6" max="6" width="16.88671875" style="72" customWidth="1"/>
    <col min="7" max="7" width="13.6640625" style="72" customWidth="1"/>
    <col min="8" max="8" width="12.33203125" style="72" customWidth="1"/>
    <col min="9" max="9" width="15.33203125" style="72" customWidth="1"/>
    <col min="10" max="10" width="17.109375" style="72" customWidth="1"/>
    <col min="11" max="11" width="15.6640625" style="72" customWidth="1"/>
    <col min="12" max="12" width="2.109375" style="72" customWidth="1"/>
    <col min="13" max="13" width="8.6640625" style="72" customWidth="1"/>
    <col min="14" max="14" width="15" style="72" customWidth="1"/>
    <col min="15" max="16384" width="11.5546875" style="72"/>
  </cols>
  <sheetData>
    <row r="1" spans="2:9" ht="6" customHeight="1" x14ac:dyDescent="0.3"/>
    <row r="2" spans="2:9" ht="7.2" customHeight="1" thickBot="1" x14ac:dyDescent="0.35"/>
    <row r="3" spans="2:9" x14ac:dyDescent="0.3">
      <c r="B3" s="33" t="s">
        <v>102</v>
      </c>
      <c r="C3" s="34"/>
      <c r="D3" s="34"/>
      <c r="E3" s="34"/>
      <c r="F3" s="35"/>
      <c r="G3" s="26"/>
      <c r="H3" s="26"/>
      <c r="I3" s="26"/>
    </row>
    <row r="4" spans="2:9" x14ac:dyDescent="0.3">
      <c r="B4" s="41"/>
      <c r="C4" s="37"/>
      <c r="D4" s="37"/>
      <c r="E4" s="37"/>
      <c r="F4" s="38"/>
      <c r="G4" s="26"/>
      <c r="H4" s="26"/>
      <c r="I4" s="26"/>
    </row>
    <row r="5" spans="2:9" x14ac:dyDescent="0.3">
      <c r="B5" s="244" t="str">
        <f>'1) Wareneinsatz'!A2</f>
        <v>Eingabefelder</v>
      </c>
      <c r="C5" s="37"/>
      <c r="D5" s="37"/>
      <c r="E5" s="37"/>
      <c r="F5" s="38"/>
      <c r="G5" s="26"/>
      <c r="H5" s="26"/>
      <c r="I5" s="26"/>
    </row>
    <row r="6" spans="2:9" x14ac:dyDescent="0.3">
      <c r="B6" s="41"/>
      <c r="C6" s="37"/>
      <c r="D6" s="37"/>
      <c r="E6" s="37"/>
      <c r="F6" s="38"/>
      <c r="G6" s="26"/>
      <c r="H6" s="26"/>
      <c r="I6" s="26"/>
    </row>
    <row r="7" spans="2:9" x14ac:dyDescent="0.3">
      <c r="B7" s="244" t="str">
        <f>'1) Wareneinsatz'!A4</f>
        <v>Bruttorechner</v>
      </c>
      <c r="C7" s="37"/>
      <c r="D7" s="37"/>
      <c r="E7" s="37"/>
      <c r="F7" s="38"/>
      <c r="G7" s="26"/>
      <c r="H7" s="26"/>
      <c r="I7" s="26"/>
    </row>
    <row r="8" spans="2:9" x14ac:dyDescent="0.3">
      <c r="B8" s="350" t="b">
        <f>'1) Wareneinsatz'!A5</f>
        <v>1</v>
      </c>
      <c r="C8" s="37"/>
      <c r="D8" s="37"/>
      <c r="E8" s="37"/>
      <c r="F8" s="38"/>
      <c r="G8" s="26"/>
      <c r="H8" s="26"/>
      <c r="I8" s="26"/>
    </row>
    <row r="9" spans="2:9" ht="14.4" customHeight="1" x14ac:dyDescent="0.3">
      <c r="B9" s="574" t="s">
        <v>59</v>
      </c>
      <c r="C9" s="575" t="s">
        <v>60</v>
      </c>
      <c r="D9" s="571" t="s">
        <v>61</v>
      </c>
      <c r="E9" s="571" t="s">
        <v>62</v>
      </c>
      <c r="F9" s="573" t="s">
        <v>63</v>
      </c>
      <c r="G9" s="572"/>
      <c r="H9" s="572"/>
      <c r="I9" s="52"/>
    </row>
    <row r="10" spans="2:9" x14ac:dyDescent="0.3">
      <c r="B10" s="574"/>
      <c r="C10" s="575"/>
      <c r="D10" s="571"/>
      <c r="E10" s="571"/>
      <c r="F10" s="573"/>
      <c r="G10" s="572"/>
      <c r="H10" s="572"/>
      <c r="I10" s="52"/>
    </row>
    <row r="11" spans="2:9" x14ac:dyDescent="0.3">
      <c r="B11" s="574"/>
      <c r="C11" s="575"/>
      <c r="D11" s="571"/>
      <c r="E11" s="67" t="s">
        <v>64</v>
      </c>
      <c r="F11" s="573"/>
      <c r="G11" s="27"/>
      <c r="H11" s="26"/>
      <c r="I11" s="52"/>
    </row>
    <row r="12" spans="2:9" x14ac:dyDescent="0.3">
      <c r="B12" s="36" t="s">
        <v>72</v>
      </c>
      <c r="C12" s="67">
        <f>'2) Angaben DB'!B9</f>
        <v>1</v>
      </c>
      <c r="D12" s="67">
        <f>'2) Angaben DB'!C9</f>
        <v>174</v>
      </c>
      <c r="E12" s="67">
        <f>'2) Angaben DB'!D9</f>
        <v>2</v>
      </c>
      <c r="F12" s="245">
        <f>'2) Angaben DB'!E9</f>
        <v>348</v>
      </c>
      <c r="G12" s="28"/>
      <c r="H12" s="28"/>
      <c r="I12" s="52"/>
    </row>
    <row r="13" spans="2:9" x14ac:dyDescent="0.3">
      <c r="B13" s="36" t="s">
        <v>71</v>
      </c>
      <c r="C13" s="67">
        <f>'2) Angaben DB'!B10</f>
        <v>2</v>
      </c>
      <c r="D13" s="67">
        <f>'2) Angaben DB'!C10</f>
        <v>174</v>
      </c>
      <c r="E13" s="67">
        <f>'2) Angaben DB'!D10</f>
        <v>3</v>
      </c>
      <c r="F13" s="245">
        <f>'2) Angaben DB'!E10</f>
        <v>1044</v>
      </c>
      <c r="G13" s="28"/>
      <c r="H13" s="28"/>
      <c r="I13" s="52"/>
    </row>
    <row r="14" spans="2:9" x14ac:dyDescent="0.3">
      <c r="B14" s="68" t="s">
        <v>73</v>
      </c>
      <c r="C14" s="246">
        <f>'2) Angaben DB'!B11</f>
        <v>1</v>
      </c>
      <c r="D14" s="246">
        <f>'2) Angaben DB'!C11</f>
        <v>174</v>
      </c>
      <c r="E14" s="246">
        <f>'2) Angaben DB'!D11</f>
        <v>5</v>
      </c>
      <c r="F14" s="247">
        <f>'2) Angaben DB'!E11</f>
        <v>870</v>
      </c>
      <c r="G14" s="28"/>
      <c r="H14" s="28"/>
      <c r="I14" s="52"/>
    </row>
    <row r="15" spans="2:9" x14ac:dyDescent="0.3">
      <c r="B15" s="41" t="s">
        <v>65</v>
      </c>
      <c r="C15" s="248">
        <f>SUM(C12:C14)</f>
        <v>4</v>
      </c>
      <c r="D15" s="37"/>
      <c r="E15" s="37"/>
      <c r="F15" s="249">
        <f>'2) Angaben DB'!E12</f>
        <v>2262</v>
      </c>
      <c r="G15" s="26"/>
    </row>
    <row r="16" spans="2:9" ht="15" thickBot="1" x14ac:dyDescent="0.35">
      <c r="B16" s="250" t="s">
        <v>210</v>
      </c>
      <c r="C16" s="251"/>
      <c r="D16" s="253">
        <f>'2) Angaben DB'!C13</f>
        <v>174</v>
      </c>
      <c r="E16" s="253">
        <f>'2) Angaben DB'!D13</f>
        <v>3.25</v>
      </c>
      <c r="F16" s="252"/>
      <c r="G16" s="26"/>
      <c r="H16" s="26"/>
      <c r="I16" s="52"/>
    </row>
    <row r="17" spans="2:10" ht="15" thickBot="1" x14ac:dyDescent="0.35">
      <c r="B17" s="26"/>
      <c r="C17" s="26"/>
      <c r="D17" s="26"/>
      <c r="E17" s="26"/>
      <c r="F17" s="26"/>
      <c r="G17" s="26"/>
      <c r="H17" s="26"/>
      <c r="I17" s="52"/>
    </row>
    <row r="18" spans="2:10" ht="15.6" thickTop="1" thickBot="1" x14ac:dyDescent="0.35">
      <c r="B18" s="389" t="s">
        <v>75</v>
      </c>
      <c r="C18" s="390"/>
      <c r="D18" s="390"/>
      <c r="E18" s="390"/>
      <c r="F18" s="391"/>
    </row>
    <row r="19" spans="2:10" x14ac:dyDescent="0.3">
      <c r="B19" s="433" t="s">
        <v>186</v>
      </c>
      <c r="C19" s="21"/>
      <c r="D19" s="21"/>
      <c r="E19" s="21"/>
      <c r="F19" s="393"/>
      <c r="G19" s="31"/>
      <c r="H19" s="31"/>
      <c r="I19" s="31"/>
    </row>
    <row r="20" spans="2:10" ht="27.6" customHeight="1" x14ac:dyDescent="0.3">
      <c r="B20" s="404"/>
      <c r="C20" s="51"/>
      <c r="D20" s="460" t="s">
        <v>207</v>
      </c>
      <c r="E20" s="465" t="s">
        <v>286</v>
      </c>
      <c r="F20" s="464" t="s">
        <v>280</v>
      </c>
      <c r="G20" s="51"/>
      <c r="H20" s="31"/>
      <c r="I20" s="31"/>
    </row>
    <row r="21" spans="2:10" x14ac:dyDescent="0.3">
      <c r="B21" s="434" t="s">
        <v>74</v>
      </c>
      <c r="C21" s="254">
        <f>'2) Angaben DB'!B17</f>
        <v>0.5</v>
      </c>
      <c r="D21" s="255">
        <f>'2) Angaben DB'!C17</f>
        <v>1131</v>
      </c>
      <c r="E21" s="466">
        <f>'2) Angaben DB'!D17</f>
        <v>348</v>
      </c>
      <c r="F21" s="463">
        <f>'2) Angaben DB'!E17</f>
        <v>29</v>
      </c>
      <c r="G21" s="51"/>
      <c r="H21" s="31"/>
      <c r="I21" s="31"/>
    </row>
    <row r="22" spans="2:10" ht="15" thickBot="1" x14ac:dyDescent="0.35">
      <c r="B22" s="404"/>
      <c r="C22" s="52"/>
      <c r="D22" s="52"/>
      <c r="E22" s="461"/>
      <c r="F22" s="396"/>
      <c r="G22" s="51"/>
      <c r="H22" s="51"/>
      <c r="I22" s="51"/>
    </row>
    <row r="23" spans="2:10" ht="15.6" thickTop="1" thickBot="1" x14ac:dyDescent="0.35">
      <c r="B23" s="436" t="s">
        <v>66</v>
      </c>
      <c r="C23" s="424"/>
      <c r="D23" s="425"/>
      <c r="E23" s="437">
        <f>E21*F21</f>
        <v>10092</v>
      </c>
      <c r="F23" s="438" t="s">
        <v>67</v>
      </c>
      <c r="H23" s="441">
        <f>F21</f>
        <v>29</v>
      </c>
      <c r="I23" s="429" t="s">
        <v>285</v>
      </c>
    </row>
    <row r="24" spans="2:10" ht="15.6" thickTop="1" thickBot="1" x14ac:dyDescent="0.35">
      <c r="B24" s="31"/>
      <c r="C24" s="31"/>
      <c r="D24" s="51"/>
      <c r="E24" s="32"/>
      <c r="F24" s="31"/>
      <c r="H24" s="51"/>
      <c r="I24" s="31"/>
    </row>
    <row r="25" spans="2:10" ht="15.6" thickTop="1" thickBot="1" x14ac:dyDescent="0.35">
      <c r="B25" s="389" t="s">
        <v>76</v>
      </c>
      <c r="C25" s="390"/>
      <c r="D25" s="390"/>
      <c r="E25" s="390"/>
      <c r="F25" s="391"/>
    </row>
    <row r="26" spans="2:10" x14ac:dyDescent="0.3">
      <c r="B26" s="392" t="s">
        <v>77</v>
      </c>
      <c r="C26" s="21"/>
      <c r="D26" s="21"/>
      <c r="E26" s="21"/>
      <c r="F26" s="393"/>
      <c r="G26" s="31"/>
      <c r="H26" s="31"/>
      <c r="I26" s="45"/>
      <c r="J26" s="51"/>
    </row>
    <row r="27" spans="2:10" ht="28.95" customHeight="1" x14ac:dyDescent="0.3">
      <c r="B27" s="462"/>
      <c r="C27" s="104"/>
      <c r="D27" s="104"/>
      <c r="E27" s="39"/>
      <c r="F27" s="435" t="s">
        <v>282</v>
      </c>
      <c r="G27" s="27"/>
      <c r="H27" s="26"/>
      <c r="I27" s="24"/>
      <c r="J27" s="51"/>
    </row>
    <row r="28" spans="2:10" x14ac:dyDescent="0.3">
      <c r="B28" s="462"/>
      <c r="C28" s="256"/>
      <c r="D28" s="257"/>
      <c r="E28" s="39"/>
      <c r="F28" s="463">
        <f>'1) Wareneinsatz'!G58</f>
        <v>13.0809</v>
      </c>
      <c r="G28" s="26"/>
      <c r="H28" s="26"/>
      <c r="I28" s="24"/>
      <c r="J28" s="51"/>
    </row>
    <row r="29" spans="2:10" x14ac:dyDescent="0.3">
      <c r="B29" s="462"/>
      <c r="C29" s="256"/>
      <c r="D29" s="257"/>
      <c r="E29" s="39"/>
      <c r="F29" s="395"/>
      <c r="G29" s="43"/>
      <c r="H29" s="26"/>
      <c r="I29" s="24"/>
      <c r="J29" s="51"/>
    </row>
    <row r="30" spans="2:10" ht="15" thickBot="1" x14ac:dyDescent="0.35">
      <c r="B30" s="482" t="s">
        <v>79</v>
      </c>
      <c r="C30" s="23"/>
      <c r="D30" s="206"/>
      <c r="E30" s="93">
        <f>F28*E21</f>
        <v>4552.1531999999997</v>
      </c>
      <c r="F30" s="398" t="s">
        <v>67</v>
      </c>
      <c r="H30" s="315">
        <f>F28</f>
        <v>13.0809</v>
      </c>
      <c r="I30" s="70" t="s">
        <v>285</v>
      </c>
      <c r="J30" s="51"/>
    </row>
    <row r="31" spans="2:10" ht="15" thickBot="1" x14ac:dyDescent="0.35">
      <c r="B31" s="394"/>
      <c r="C31" s="31"/>
      <c r="D31" s="51"/>
      <c r="E31" s="32"/>
      <c r="F31" s="399"/>
      <c r="G31" s="44"/>
      <c r="H31" s="26"/>
      <c r="I31" s="24"/>
      <c r="J31" s="51"/>
    </row>
    <row r="32" spans="2:10" x14ac:dyDescent="0.3">
      <c r="B32" s="392" t="s">
        <v>118</v>
      </c>
      <c r="C32" s="21"/>
      <c r="D32" s="207"/>
      <c r="E32" s="46"/>
      <c r="F32" s="393"/>
      <c r="G32" s="44"/>
      <c r="H32" s="26"/>
      <c r="I32" s="24"/>
      <c r="J32" s="51"/>
    </row>
    <row r="33" spans="1:14" x14ac:dyDescent="0.3">
      <c r="B33" s="394"/>
      <c r="C33" s="31"/>
      <c r="D33" s="51"/>
      <c r="E33" s="32"/>
      <c r="F33" s="399"/>
      <c r="G33" s="44"/>
      <c r="H33" s="26"/>
      <c r="I33" s="24"/>
      <c r="J33" s="51"/>
    </row>
    <row r="34" spans="1:14" x14ac:dyDescent="0.3">
      <c r="B34" s="400" t="s">
        <v>110</v>
      </c>
      <c r="C34" s="208">
        <v>14.6</v>
      </c>
      <c r="D34" s="51" t="s">
        <v>113</v>
      </c>
      <c r="E34" s="51"/>
      <c r="F34" s="401"/>
    </row>
    <row r="35" spans="1:14" x14ac:dyDescent="0.3">
      <c r="B35" s="394"/>
      <c r="C35" s="209">
        <f>IF(B8, 0.29, (0.29/1.19))</f>
        <v>0.28999999999999998</v>
      </c>
      <c r="D35" s="51" t="s">
        <v>111</v>
      </c>
      <c r="E35" s="51"/>
      <c r="F35" s="401"/>
    </row>
    <row r="36" spans="1:14" x14ac:dyDescent="0.3">
      <c r="B36" s="402"/>
      <c r="C36" s="210"/>
      <c r="D36" s="210"/>
      <c r="E36" s="96">
        <f>C34*C35*D16</f>
        <v>736.71600000000001</v>
      </c>
      <c r="F36" s="403" t="s">
        <v>90</v>
      </c>
      <c r="H36" s="97">
        <f>E36/E21</f>
        <v>2.117</v>
      </c>
      <c r="I36" s="98" t="s">
        <v>285</v>
      </c>
    </row>
    <row r="37" spans="1:14" x14ac:dyDescent="0.3">
      <c r="B37" s="404"/>
      <c r="C37" s="31"/>
      <c r="D37" s="51"/>
      <c r="E37" s="32"/>
      <c r="F37" s="399"/>
      <c r="G37" s="44"/>
      <c r="H37" s="50"/>
      <c r="J37" s="51"/>
    </row>
    <row r="38" spans="1:14" x14ac:dyDescent="0.3">
      <c r="B38" s="400" t="s">
        <v>70</v>
      </c>
      <c r="C38" s="105" t="s">
        <v>114</v>
      </c>
      <c r="D38" s="105" t="s">
        <v>115</v>
      </c>
      <c r="E38" s="105" t="s">
        <v>116</v>
      </c>
      <c r="F38" s="399"/>
      <c r="G38" s="44"/>
      <c r="H38" s="50"/>
      <c r="J38" s="51"/>
    </row>
    <row r="39" spans="1:14" x14ac:dyDescent="0.3">
      <c r="B39" s="404" t="s">
        <v>117</v>
      </c>
      <c r="C39" s="229">
        <f>'2) Angaben DB'!B26</f>
        <v>20</v>
      </c>
      <c r="D39" s="258">
        <f>IF(B8, 10.7, (10.7/1.19))</f>
        <v>10.7</v>
      </c>
      <c r="E39" s="259">
        <f>C39*D39</f>
        <v>214</v>
      </c>
      <c r="F39" s="399"/>
      <c r="G39" s="44"/>
      <c r="H39" s="50"/>
      <c r="J39" s="51"/>
    </row>
    <row r="40" spans="1:14" x14ac:dyDescent="0.3">
      <c r="B40" s="405"/>
      <c r="C40" s="210"/>
      <c r="D40" s="210"/>
      <c r="E40" s="96">
        <f>E39</f>
        <v>214</v>
      </c>
      <c r="F40" s="403" t="s">
        <v>90</v>
      </c>
      <c r="H40" s="97">
        <f>E40/E21</f>
        <v>0.61494252873563215</v>
      </c>
      <c r="I40" s="98" t="s">
        <v>285</v>
      </c>
      <c r="J40" s="51"/>
    </row>
    <row r="41" spans="1:14" x14ac:dyDescent="0.3">
      <c r="B41" s="394"/>
      <c r="C41" s="51"/>
      <c r="D41" s="51"/>
      <c r="E41" s="51"/>
      <c r="F41" s="399"/>
      <c r="J41" s="51"/>
    </row>
    <row r="42" spans="1:14" x14ac:dyDescent="0.3">
      <c r="B42" s="442" t="s">
        <v>100</v>
      </c>
      <c r="C42" s="443" t="s">
        <v>101</v>
      </c>
      <c r="D42" s="32" t="s">
        <v>123</v>
      </c>
      <c r="E42" s="51"/>
      <c r="F42" s="399"/>
      <c r="G42" s="51"/>
      <c r="H42" s="51"/>
      <c r="N42" s="51"/>
    </row>
    <row r="43" spans="1:14" x14ac:dyDescent="0.3">
      <c r="A43" s="51"/>
      <c r="B43" s="444">
        <v>5</v>
      </c>
      <c r="C43" s="445">
        <f>B43</f>
        <v>5</v>
      </c>
      <c r="D43" s="51" t="s">
        <v>119</v>
      </c>
      <c r="E43" s="51"/>
      <c r="F43" s="401"/>
      <c r="G43" s="51"/>
      <c r="H43" s="12"/>
      <c r="J43" s="51"/>
    </row>
    <row r="44" spans="1:14" x14ac:dyDescent="0.3">
      <c r="A44" s="51"/>
      <c r="B44" s="444">
        <v>2</v>
      </c>
      <c r="C44" s="445">
        <f>B44</f>
        <v>2</v>
      </c>
      <c r="D44" s="51" t="s">
        <v>120</v>
      </c>
      <c r="E44" s="51"/>
      <c r="F44" s="399"/>
    </row>
    <row r="45" spans="1:14" x14ac:dyDescent="0.3">
      <c r="A45" s="51"/>
      <c r="B45" s="446">
        <f>IF(B8, 1.62, (1.62/0.19))</f>
        <v>1.62</v>
      </c>
      <c r="C45" s="447">
        <f>IF(B8, 1.98, (1.98/0.19))</f>
        <v>1.98</v>
      </c>
      <c r="D45" s="51" t="s">
        <v>121</v>
      </c>
      <c r="E45" s="51"/>
      <c r="F45" s="399"/>
      <c r="H45" s="50"/>
      <c r="J45" s="51"/>
    </row>
    <row r="46" spans="1:14" x14ac:dyDescent="0.3">
      <c r="A46" s="51"/>
      <c r="B46" s="446">
        <f>B45/1000*B43*B44</f>
        <v>1.6200000000000003E-2</v>
      </c>
      <c r="C46" s="447">
        <f>C45/1000*C43*C44</f>
        <v>1.9799999999999998E-2</v>
      </c>
      <c r="D46" s="51" t="s">
        <v>112</v>
      </c>
      <c r="E46" s="51"/>
      <c r="F46" s="399"/>
      <c r="H46" s="50"/>
      <c r="J46" s="51"/>
    </row>
    <row r="47" spans="1:14" x14ac:dyDescent="0.3">
      <c r="A47" s="51"/>
      <c r="B47" s="444">
        <f>B43*B44*D16</f>
        <v>1740</v>
      </c>
      <c r="C47" s="445">
        <f>C43*C44*D16</f>
        <v>1740</v>
      </c>
      <c r="D47" s="52" t="s">
        <v>122</v>
      </c>
      <c r="E47" s="51"/>
      <c r="F47" s="399"/>
      <c r="H47" s="50"/>
      <c r="J47" s="51"/>
    </row>
    <row r="48" spans="1:14" x14ac:dyDescent="0.3">
      <c r="A48" s="51"/>
      <c r="B48" s="448">
        <f>B46*D16</f>
        <v>2.8188000000000004</v>
      </c>
      <c r="C48" s="449">
        <f>C46*D16</f>
        <v>3.4451999999999998</v>
      </c>
      <c r="D48" s="51"/>
      <c r="E48" s="99">
        <f>B48+C48</f>
        <v>6.2640000000000002</v>
      </c>
      <c r="F48" s="406" t="s">
        <v>90</v>
      </c>
      <c r="H48" s="100">
        <f>E48/E21</f>
        <v>1.8000000000000002E-2</v>
      </c>
      <c r="I48" s="98" t="s">
        <v>285</v>
      </c>
      <c r="J48" s="51"/>
    </row>
    <row r="49" spans="1:12" x14ac:dyDescent="0.3">
      <c r="A49" s="51"/>
      <c r="B49" s="407"/>
      <c r="C49" s="243"/>
      <c r="D49" s="51"/>
      <c r="E49" s="63"/>
      <c r="F49" s="408"/>
      <c r="H49" s="498"/>
      <c r="I49" s="62"/>
      <c r="J49" s="51"/>
    </row>
    <row r="50" spans="1:12" x14ac:dyDescent="0.3">
      <c r="A50" s="51"/>
      <c r="B50" s="409"/>
      <c r="C50" s="90"/>
      <c r="D50" s="213"/>
      <c r="E50" s="261">
        <f>E36+E40+E48</f>
        <v>956.98</v>
      </c>
      <c r="F50" s="410" t="s">
        <v>131</v>
      </c>
      <c r="H50" s="95">
        <f>E50/E21</f>
        <v>2.7499425287356321</v>
      </c>
      <c r="I50" s="70" t="s">
        <v>285</v>
      </c>
      <c r="J50" s="51"/>
    </row>
    <row r="51" spans="1:12" ht="15" thickBot="1" x14ac:dyDescent="0.35">
      <c r="B51" s="411"/>
      <c r="C51" s="206"/>
      <c r="D51" s="215" t="s">
        <v>125</v>
      </c>
      <c r="E51" s="91">
        <f>E50/E23</f>
        <v>9.482560443915973E-2</v>
      </c>
      <c r="F51" s="412" t="s">
        <v>236</v>
      </c>
      <c r="J51" s="51"/>
    </row>
    <row r="52" spans="1:12" ht="15" thickBot="1" x14ac:dyDescent="0.35">
      <c r="B52" s="394"/>
      <c r="C52" s="31"/>
      <c r="D52" s="51"/>
      <c r="E52" s="32"/>
      <c r="F52" s="399"/>
      <c r="G52" s="44"/>
      <c r="H52" s="26"/>
      <c r="I52" s="24"/>
      <c r="J52" s="51"/>
    </row>
    <row r="53" spans="1:12" x14ac:dyDescent="0.3">
      <c r="B53" s="392" t="s">
        <v>195</v>
      </c>
      <c r="C53" s="21"/>
      <c r="D53" s="207"/>
      <c r="E53" s="46"/>
      <c r="F53" s="393"/>
      <c r="G53" s="44"/>
      <c r="H53" s="26"/>
      <c r="I53" s="24"/>
      <c r="J53" s="51"/>
    </row>
    <row r="54" spans="1:12" x14ac:dyDescent="0.3">
      <c r="B54" s="413"/>
      <c r="C54" s="105" t="s">
        <v>199</v>
      </c>
      <c r="D54" s="105" t="s">
        <v>90</v>
      </c>
      <c r="E54" s="51"/>
      <c r="F54" s="401"/>
      <c r="G54" s="44"/>
      <c r="H54" s="26"/>
      <c r="I54" s="24"/>
      <c r="J54" s="51"/>
    </row>
    <row r="55" spans="1:12" x14ac:dyDescent="0.3">
      <c r="B55" s="413" t="s">
        <v>196</v>
      </c>
      <c r="C55" s="74">
        <f>IF(B8, (((0.04+0.06+0.05)/5*'2) Angaben DB'!B26)*D16/F15*C21), ((((0.04+0.06+0.05)/5*'2) Angaben DB'!B26)*D16/F15*C21)/1.19))</f>
        <v>2.3076923076923082E-2</v>
      </c>
      <c r="D55" s="260">
        <f>C55*F15*C21</f>
        <v>26.100000000000005</v>
      </c>
      <c r="E55" s="51"/>
      <c r="F55" s="401"/>
      <c r="G55" s="44"/>
      <c r="H55" s="26"/>
      <c r="I55" s="24"/>
      <c r="J55" s="51"/>
    </row>
    <row r="56" spans="1:12" x14ac:dyDescent="0.3">
      <c r="B56" s="413" t="s">
        <v>197</v>
      </c>
      <c r="C56" s="75">
        <f>IF(B8, ((((0.03+0.56)*6)+((0.02+0.02)*12)+(0.03*D16))/F15*C21), (((((0.03+0.56)*6)+((0.02+0.02)*12)+(0.03*D16))/F15*C21)/1.19))</f>
        <v>2.0424403183023875E-3</v>
      </c>
      <c r="D56" s="260">
        <f>C56*F15*C21</f>
        <v>2.31</v>
      </c>
      <c r="E56" s="51"/>
      <c r="F56" s="399"/>
      <c r="G56" s="44"/>
      <c r="H56" s="26"/>
      <c r="I56" s="24"/>
      <c r="J56" s="51"/>
    </row>
    <row r="57" spans="1:12" ht="15" thickBot="1" x14ac:dyDescent="0.35">
      <c r="B57" s="397"/>
      <c r="C57" s="23"/>
      <c r="D57" s="206"/>
      <c r="E57" s="262">
        <f>SUM(D55:D56)</f>
        <v>28.410000000000004</v>
      </c>
      <c r="F57" s="414" t="s">
        <v>67</v>
      </c>
      <c r="G57" s="44"/>
      <c r="H57" s="95">
        <f>E57/E21</f>
        <v>8.1637931034482775E-2</v>
      </c>
      <c r="I57" s="70" t="s">
        <v>285</v>
      </c>
      <c r="J57" s="51"/>
    </row>
    <row r="58" spans="1:12" ht="15" thickBot="1" x14ac:dyDescent="0.35">
      <c r="A58" s="51"/>
      <c r="B58" s="394"/>
      <c r="C58" s="31"/>
      <c r="D58" s="51"/>
      <c r="E58" s="32"/>
      <c r="F58" s="399"/>
      <c r="G58" s="44"/>
      <c r="H58" s="26"/>
      <c r="I58" s="24"/>
      <c r="J58" s="51"/>
    </row>
    <row r="59" spans="1:12" x14ac:dyDescent="0.3">
      <c r="B59" s="392" t="s">
        <v>80</v>
      </c>
      <c r="C59" s="21"/>
      <c r="D59" s="207"/>
      <c r="E59" s="46"/>
      <c r="F59" s="393"/>
      <c r="G59" s="44"/>
      <c r="H59" s="26"/>
      <c r="I59" s="24"/>
      <c r="J59" s="51"/>
      <c r="K59" s="51"/>
      <c r="L59" s="51"/>
    </row>
    <row r="60" spans="1:12" ht="14.4" customHeight="1" x14ac:dyDescent="0.3">
      <c r="B60" s="415" t="s">
        <v>251</v>
      </c>
      <c r="C60" s="219"/>
      <c r="D60" s="219"/>
      <c r="E60" s="219"/>
      <c r="F60" s="416"/>
      <c r="G60" s="44"/>
      <c r="H60" s="26"/>
      <c r="I60" s="24"/>
      <c r="J60" s="51"/>
      <c r="K60" s="51"/>
      <c r="L60" s="51"/>
    </row>
    <row r="61" spans="1:12" x14ac:dyDescent="0.3">
      <c r="B61" s="404"/>
      <c r="C61" s="51"/>
      <c r="D61" s="51"/>
      <c r="E61" s="51"/>
      <c r="F61" s="401"/>
      <c r="G61" s="51"/>
      <c r="H61" s="51"/>
      <c r="I61" s="51"/>
      <c r="J61" s="51"/>
      <c r="K61" s="10"/>
      <c r="L61" s="51"/>
    </row>
    <row r="62" spans="1:12" x14ac:dyDescent="0.3">
      <c r="B62" s="417" t="s">
        <v>124</v>
      </c>
      <c r="C62" s="569" t="s">
        <v>302</v>
      </c>
      <c r="D62" s="570"/>
      <c r="E62" s="51"/>
      <c r="F62" s="401"/>
      <c r="G62" s="51"/>
      <c r="H62" s="51"/>
      <c r="I62" s="51"/>
      <c r="J62" s="51"/>
      <c r="K62" s="10"/>
      <c r="L62" s="51"/>
    </row>
    <row r="63" spans="1:12" x14ac:dyDescent="0.3">
      <c r="B63" s="404" t="s">
        <v>198</v>
      </c>
      <c r="C63" s="217">
        <v>8</v>
      </c>
      <c r="D63" s="12" t="s">
        <v>232</v>
      </c>
      <c r="E63" s="51"/>
      <c r="F63" s="418"/>
      <c r="G63" s="51"/>
      <c r="H63" s="12"/>
      <c r="I63" s="69"/>
      <c r="J63" s="51"/>
      <c r="K63" s="10"/>
      <c r="L63" s="51"/>
    </row>
    <row r="64" spans="1:12" x14ac:dyDescent="0.3">
      <c r="B64" s="404" t="s">
        <v>129</v>
      </c>
      <c r="C64" s="217">
        <f>7.6*0.1</f>
        <v>0.76</v>
      </c>
      <c r="D64" s="51" t="s">
        <v>232</v>
      </c>
      <c r="E64" s="51"/>
      <c r="F64" s="401"/>
      <c r="G64" s="51"/>
      <c r="H64" s="51"/>
      <c r="I64" s="51"/>
      <c r="J64" s="51"/>
      <c r="K64" s="10"/>
      <c r="L64" s="51"/>
    </row>
    <row r="65" spans="2:12" x14ac:dyDescent="0.3">
      <c r="B65" s="404" t="s">
        <v>130</v>
      </c>
      <c r="C65" s="217">
        <f>6*0.1</f>
        <v>0.60000000000000009</v>
      </c>
      <c r="D65" s="51" t="s">
        <v>232</v>
      </c>
      <c r="E65" s="51"/>
      <c r="F65" s="401"/>
      <c r="G65" s="51"/>
      <c r="H65" s="51"/>
      <c r="I65" s="51"/>
      <c r="J65" s="51"/>
      <c r="K65" s="10"/>
      <c r="L65" s="51"/>
    </row>
    <row r="66" spans="2:12" x14ac:dyDescent="0.3">
      <c r="B66" s="394" t="s">
        <v>195</v>
      </c>
      <c r="C66" s="217">
        <f>((((3.1+3.1+7)/5*'2) Angaben DB'!B26)*D16/F15*C21))+(((((20+15)*6)+((9+5)*12)+(2*D16))/F15*C21))</f>
        <v>2.1912466843501326</v>
      </c>
      <c r="D66" s="51" t="s">
        <v>232</v>
      </c>
      <c r="E66" s="51"/>
      <c r="F66" s="401"/>
      <c r="G66" s="51"/>
      <c r="H66" s="51"/>
      <c r="I66" s="51"/>
      <c r="J66" s="51"/>
      <c r="K66" s="10"/>
      <c r="L66" s="51"/>
    </row>
    <row r="67" spans="2:12" x14ac:dyDescent="0.3">
      <c r="B67" s="419" t="s">
        <v>283</v>
      </c>
      <c r="C67" s="269">
        <f>SUM(C63:C66)</f>
        <v>11.551246684350133</v>
      </c>
      <c r="D67" s="268" t="s">
        <v>232</v>
      </c>
      <c r="E67" s="51"/>
      <c r="F67" s="401"/>
      <c r="G67" s="51"/>
      <c r="H67" s="51"/>
      <c r="I67" s="51"/>
      <c r="J67" s="51"/>
      <c r="K67" s="10"/>
      <c r="L67" s="51"/>
    </row>
    <row r="68" spans="2:12" x14ac:dyDescent="0.3">
      <c r="B68" s="419" t="s">
        <v>132</v>
      </c>
      <c r="C68" s="270">
        <f>C67/60</f>
        <v>0.1925207780725022</v>
      </c>
      <c r="D68" s="271" t="s">
        <v>233</v>
      </c>
      <c r="E68" s="51"/>
      <c r="F68" s="401"/>
      <c r="G68" s="51"/>
      <c r="H68" s="51"/>
      <c r="I68" s="51"/>
      <c r="J68" s="51"/>
      <c r="K68" s="10"/>
      <c r="L68" s="51"/>
    </row>
    <row r="69" spans="2:12" x14ac:dyDescent="0.3">
      <c r="B69" s="420"/>
      <c r="C69" s="184"/>
      <c r="D69" s="62"/>
      <c r="E69" s="51"/>
      <c r="F69" s="401"/>
      <c r="G69" s="51"/>
      <c r="H69" s="51"/>
      <c r="I69" s="51"/>
      <c r="J69" s="51"/>
      <c r="K69" s="10"/>
      <c r="L69" s="51"/>
    </row>
    <row r="70" spans="2:12" x14ac:dyDescent="0.3">
      <c r="B70" s="421" t="s">
        <v>190</v>
      </c>
      <c r="C70" s="266">
        <f>C68*F15*C21</f>
        <v>217.74099999999999</v>
      </c>
      <c r="D70" s="267" t="s">
        <v>234</v>
      </c>
      <c r="E70" s="51"/>
      <c r="F70" s="401"/>
      <c r="G70" s="51"/>
      <c r="H70" s="51"/>
      <c r="I70" s="51"/>
      <c r="J70" s="51"/>
      <c r="K70" s="10"/>
      <c r="L70" s="51"/>
    </row>
    <row r="71" spans="2:12" x14ac:dyDescent="0.3">
      <c r="B71" s="404"/>
      <c r="C71" s="211"/>
      <c r="D71" s="51"/>
      <c r="E71" s="51"/>
      <c r="F71" s="401"/>
      <c r="G71" s="51"/>
      <c r="H71" s="51"/>
      <c r="I71" s="51"/>
      <c r="J71" s="51"/>
      <c r="K71" s="10"/>
      <c r="L71" s="51"/>
    </row>
    <row r="72" spans="2:12" x14ac:dyDescent="0.3">
      <c r="B72" s="415" t="s">
        <v>194</v>
      </c>
      <c r="C72" s="51">
        <f>'2) Angaben DB'!B21</f>
        <v>0</v>
      </c>
      <c r="D72" s="51" t="s">
        <v>188</v>
      </c>
      <c r="E72" s="219"/>
      <c r="F72" s="416"/>
      <c r="G72" s="219"/>
      <c r="H72" s="51"/>
      <c r="I72" s="51"/>
      <c r="J72" s="51"/>
      <c r="K72" s="10"/>
      <c r="L72" s="51"/>
    </row>
    <row r="73" spans="2:12" ht="14.4" customHeight="1" x14ac:dyDescent="0.3">
      <c r="B73" s="422" t="s">
        <v>125</v>
      </c>
      <c r="C73" s="12">
        <f>C72*50/C70</f>
        <v>0</v>
      </c>
      <c r="D73" s="51" t="s">
        <v>189</v>
      </c>
      <c r="E73" s="51"/>
      <c r="F73" s="401"/>
      <c r="G73" s="221"/>
      <c r="H73" s="51"/>
      <c r="I73" s="51"/>
      <c r="J73" s="51"/>
      <c r="K73" s="10"/>
      <c r="L73" s="51"/>
    </row>
    <row r="74" spans="2:12" ht="14.4" customHeight="1" x14ac:dyDescent="0.3">
      <c r="B74" s="404" t="s">
        <v>126</v>
      </c>
      <c r="C74" s="351">
        <v>19</v>
      </c>
      <c r="D74" s="51" t="s">
        <v>127</v>
      </c>
      <c r="E74" s="12"/>
      <c r="F74" s="401"/>
      <c r="G74" s="221"/>
      <c r="H74" s="51"/>
      <c r="I74" s="51"/>
      <c r="J74" s="51"/>
      <c r="K74" s="10"/>
      <c r="L74" s="51"/>
    </row>
    <row r="75" spans="2:12" x14ac:dyDescent="0.3">
      <c r="B75" s="404"/>
      <c r="C75" s="51"/>
      <c r="D75" s="51"/>
      <c r="E75" s="263">
        <f>C73*C70*C74</f>
        <v>0</v>
      </c>
      <c r="F75" s="423" t="s">
        <v>67</v>
      </c>
      <c r="G75" s="51"/>
      <c r="H75" s="95">
        <f>E75/E21</f>
        <v>0</v>
      </c>
      <c r="I75" s="70" t="s">
        <v>285</v>
      </c>
      <c r="J75" s="31"/>
      <c r="K75" s="10"/>
      <c r="L75" s="51"/>
    </row>
    <row r="76" spans="2:12" ht="15" thickBot="1" x14ac:dyDescent="0.35">
      <c r="B76" s="397" t="s">
        <v>128</v>
      </c>
      <c r="C76" s="222"/>
      <c r="D76" s="206"/>
      <c r="E76" s="206"/>
      <c r="F76" s="412"/>
      <c r="G76" s="51"/>
      <c r="H76" s="51"/>
      <c r="I76" s="51"/>
      <c r="J76" s="51"/>
      <c r="K76" s="10"/>
      <c r="L76" s="51"/>
    </row>
    <row r="77" spans="2:12" s="51" customFormat="1" ht="15" thickBot="1" x14ac:dyDescent="0.35">
      <c r="B77" s="404"/>
      <c r="C77" s="217"/>
      <c r="F77" s="401"/>
      <c r="K77" s="10"/>
    </row>
    <row r="78" spans="2:12" x14ac:dyDescent="0.3">
      <c r="B78" s="392" t="s">
        <v>224</v>
      </c>
      <c r="C78" s="567" t="s">
        <v>133</v>
      </c>
      <c r="D78" s="207"/>
      <c r="E78" s="46"/>
      <c r="F78" s="393"/>
      <c r="G78" s="44"/>
      <c r="H78" s="26"/>
      <c r="I78" s="24"/>
      <c r="J78" s="51"/>
    </row>
    <row r="79" spans="2:12" x14ac:dyDescent="0.3">
      <c r="B79" s="404"/>
      <c r="C79" s="568"/>
      <c r="D79" s="223" t="s">
        <v>134</v>
      </c>
      <c r="E79" s="51"/>
      <c r="F79" s="401"/>
      <c r="G79" s="51"/>
      <c r="I79" s="44"/>
      <c r="J79" s="51"/>
    </row>
    <row r="80" spans="2:12" ht="15" thickBot="1" x14ac:dyDescent="0.35">
      <c r="B80" s="411" t="s">
        <v>249</v>
      </c>
      <c r="C80" s="265">
        <v>5</v>
      </c>
      <c r="D80" s="355">
        <f>IF(B8, 0.35, (0.35/1.19))</f>
        <v>0.35</v>
      </c>
      <c r="E80" s="262">
        <f>D16/6*2*C80*2*D80</f>
        <v>203</v>
      </c>
      <c r="F80" s="414" t="s">
        <v>67</v>
      </c>
      <c r="G80" s="51"/>
      <c r="H80" s="95">
        <f>E80/E21</f>
        <v>0.58333333333333337</v>
      </c>
      <c r="I80" s="70" t="s">
        <v>285</v>
      </c>
      <c r="J80" s="51"/>
      <c r="L80" s="239"/>
    </row>
    <row r="81" spans="1:14" ht="15" thickBot="1" x14ac:dyDescent="0.35">
      <c r="B81" s="394"/>
      <c r="C81" s="31"/>
      <c r="D81" s="51"/>
      <c r="E81" s="32"/>
      <c r="F81" s="399"/>
      <c r="G81" s="44"/>
      <c r="H81" s="26"/>
      <c r="I81" s="24"/>
      <c r="J81" s="51"/>
    </row>
    <row r="82" spans="1:14" ht="15.6" thickTop="1" thickBot="1" x14ac:dyDescent="0.35">
      <c r="B82" s="426" t="s">
        <v>257</v>
      </c>
      <c r="C82" s="427"/>
      <c r="D82" s="427"/>
      <c r="E82" s="428">
        <f>E30+E57+E50+E75+E80</f>
        <v>5740.5432000000001</v>
      </c>
      <c r="F82" s="429" t="s">
        <v>67</v>
      </c>
      <c r="G82" s="44"/>
      <c r="H82" s="432">
        <f>E82/E21</f>
        <v>16.495813793103448</v>
      </c>
      <c r="I82" s="431" t="s">
        <v>285</v>
      </c>
      <c r="J82" s="51"/>
    </row>
    <row r="83" spans="1:14" ht="15.6" thickTop="1" thickBot="1" x14ac:dyDescent="0.35">
      <c r="B83" s="40"/>
      <c r="C83" s="40"/>
      <c r="D83" s="40"/>
      <c r="E83" s="430"/>
      <c r="F83" s="40"/>
      <c r="G83" s="44"/>
      <c r="H83" s="87"/>
      <c r="I83" s="40"/>
      <c r="J83" s="52"/>
    </row>
    <row r="84" spans="1:14" ht="15.6" thickTop="1" thickBot="1" x14ac:dyDescent="0.35">
      <c r="B84" s="426" t="s">
        <v>252</v>
      </c>
      <c r="C84" s="427"/>
      <c r="D84" s="427"/>
      <c r="E84" s="439">
        <f>E23-E30-E50-E57-E75-E80</f>
        <v>4351.4567999999999</v>
      </c>
      <c r="F84" s="429" t="s">
        <v>67</v>
      </c>
      <c r="H84" s="440">
        <f>E84/E21</f>
        <v>12.504186206896552</v>
      </c>
      <c r="I84" s="429" t="s">
        <v>285</v>
      </c>
      <c r="J84" s="51"/>
    </row>
    <row r="85" spans="1:14" s="232" customFormat="1" ht="15" thickTop="1" x14ac:dyDescent="0.3">
      <c r="B85" s="40"/>
      <c r="C85" s="40"/>
      <c r="D85" s="40"/>
      <c r="E85" s="500"/>
      <c r="F85" s="40"/>
      <c r="H85" s="501"/>
      <c r="I85" s="40"/>
      <c r="J85" s="52"/>
    </row>
    <row r="86" spans="1:14" ht="15" thickBot="1" x14ac:dyDescent="0.35">
      <c r="B86" s="31"/>
      <c r="C86" s="31"/>
      <c r="D86" s="51"/>
      <c r="E86" s="32"/>
      <c r="F86" s="31"/>
      <c r="G86" s="44"/>
      <c r="H86" s="26"/>
      <c r="I86" s="24"/>
      <c r="J86" s="51"/>
    </row>
    <row r="87" spans="1:14" ht="15" thickBot="1" x14ac:dyDescent="0.35">
      <c r="B87" s="121" t="s">
        <v>81</v>
      </c>
      <c r="C87" s="31"/>
      <c r="D87" s="51"/>
      <c r="E87" s="32"/>
      <c r="F87" s="31"/>
      <c r="G87" s="44"/>
      <c r="H87" s="26"/>
      <c r="I87" s="24"/>
      <c r="J87" s="51"/>
    </row>
    <row r="88" spans="1:14" ht="15" thickBot="1" x14ac:dyDescent="0.35">
      <c r="A88" s="51"/>
      <c r="B88" s="366"/>
      <c r="C88" s="31"/>
      <c r="D88" s="51"/>
      <c r="E88" s="32"/>
      <c r="F88" s="31"/>
      <c r="G88" s="44"/>
      <c r="H88" s="26"/>
      <c r="I88" s="24"/>
      <c r="J88" s="51"/>
    </row>
    <row r="89" spans="1:14" ht="15" thickBot="1" x14ac:dyDescent="0.35">
      <c r="B89" s="111" t="s">
        <v>252</v>
      </c>
      <c r="C89" s="112"/>
      <c r="D89" s="112"/>
      <c r="E89" s="112"/>
      <c r="F89" s="112"/>
      <c r="G89" s="112"/>
      <c r="H89" s="112"/>
      <c r="I89" s="112"/>
      <c r="J89" s="264">
        <f>E84</f>
        <v>4351.4567999999999</v>
      </c>
      <c r="K89" s="114" t="s">
        <v>67</v>
      </c>
      <c r="M89" s="113">
        <f>H84</f>
        <v>12.504186206896552</v>
      </c>
      <c r="N89" s="112" t="s">
        <v>285</v>
      </c>
    </row>
    <row r="90" spans="1:14" ht="15" thickBot="1" x14ac:dyDescent="0.35">
      <c r="B90" s="26"/>
      <c r="C90" s="31"/>
      <c r="D90" s="51"/>
      <c r="E90" s="32"/>
      <c r="F90" s="31"/>
      <c r="G90" s="44"/>
      <c r="H90" s="26"/>
      <c r="I90" s="24"/>
      <c r="J90" s="51"/>
      <c r="L90" s="51"/>
      <c r="M90" s="51"/>
      <c r="N90" s="51"/>
    </row>
    <row r="91" spans="1:14" x14ac:dyDescent="0.3">
      <c r="B91" s="92" t="s">
        <v>171</v>
      </c>
      <c r="C91" s="207"/>
      <c r="D91" s="567"/>
      <c r="E91" s="207"/>
      <c r="F91" s="207"/>
      <c r="G91" s="207"/>
      <c r="H91" s="207"/>
      <c r="I91" s="207"/>
      <c r="J91" s="207"/>
      <c r="K91" s="224"/>
      <c r="L91" s="51"/>
      <c r="M91" s="51"/>
      <c r="N91" s="51"/>
    </row>
    <row r="92" spans="1:14" ht="40.950000000000003" customHeight="1" x14ac:dyDescent="0.3">
      <c r="B92" s="89" t="s">
        <v>201</v>
      </c>
      <c r="C92" s="276" t="s">
        <v>237</v>
      </c>
      <c r="D92" s="568"/>
      <c r="E92" s="481" t="s">
        <v>115</v>
      </c>
      <c r="F92" s="225" t="s">
        <v>250</v>
      </c>
      <c r="G92" s="205" t="s">
        <v>177</v>
      </c>
      <c r="H92" s="205" t="s">
        <v>178</v>
      </c>
      <c r="I92" s="205" t="s">
        <v>225</v>
      </c>
      <c r="J92" s="102" t="s">
        <v>179</v>
      </c>
      <c r="K92" s="76"/>
      <c r="L92" s="51"/>
      <c r="M92" s="51"/>
      <c r="N92" s="51"/>
    </row>
    <row r="93" spans="1:14" x14ac:dyDescent="0.3">
      <c r="B93" s="54" t="s">
        <v>117</v>
      </c>
      <c r="C93" s="105">
        <v>20</v>
      </c>
      <c r="D93" s="51"/>
      <c r="E93" s="272">
        <f>IF('2) Angaben DB'!D26, (IF(B8, 'Datengrundlage Investition'!G36, 'Datengrundlage Investition'!G36/1.19)), 0)</f>
        <v>0</v>
      </c>
      <c r="F93" s="272">
        <f>E93*C93</f>
        <v>0</v>
      </c>
      <c r="G93" s="352">
        <v>0.5</v>
      </c>
      <c r="H93" s="227">
        <f>1-G93</f>
        <v>0.5</v>
      </c>
      <c r="I93" s="105">
        <v>10</v>
      </c>
      <c r="J93" s="226">
        <f>F93/I93</f>
        <v>0</v>
      </c>
      <c r="K93" s="76"/>
      <c r="L93" s="51"/>
      <c r="M93" s="51"/>
      <c r="N93" s="51"/>
    </row>
    <row r="94" spans="1:14" x14ac:dyDescent="0.3">
      <c r="B94" s="171" t="s">
        <v>203</v>
      </c>
      <c r="C94" s="213"/>
      <c r="D94" s="213"/>
      <c r="E94" s="273"/>
      <c r="F94" s="274">
        <f>F93</f>
        <v>0</v>
      </c>
      <c r="G94" s="228">
        <f>AVERAGE(G93:G93)</f>
        <v>0.5</v>
      </c>
      <c r="H94" s="228">
        <f>AVERAGE(H93:H93)</f>
        <v>0.5</v>
      </c>
      <c r="I94" s="213"/>
      <c r="J94" s="459">
        <f>J93</f>
        <v>0</v>
      </c>
      <c r="K94" s="101" t="s">
        <v>92</v>
      </c>
      <c r="L94" s="51"/>
    </row>
    <row r="95" spans="1:14" x14ac:dyDescent="0.3">
      <c r="B95" s="54"/>
      <c r="C95" s="51"/>
      <c r="D95" s="51"/>
      <c r="E95" s="51"/>
      <c r="F95" s="51"/>
      <c r="G95" s="51"/>
      <c r="H95" s="51"/>
      <c r="I95" s="51"/>
      <c r="J95" s="59"/>
      <c r="K95" s="76"/>
      <c r="L95" s="51"/>
    </row>
    <row r="96" spans="1:14" x14ac:dyDescent="0.3">
      <c r="B96" s="42" t="s">
        <v>202</v>
      </c>
      <c r="C96" s="51"/>
      <c r="D96" s="51"/>
      <c r="E96" s="105" t="s">
        <v>121</v>
      </c>
      <c r="F96" s="105"/>
      <c r="G96" s="51"/>
      <c r="H96" s="51"/>
      <c r="I96" s="51"/>
      <c r="J96" s="59"/>
      <c r="K96" s="76"/>
      <c r="L96" s="51"/>
    </row>
    <row r="97" spans="2:15" x14ac:dyDescent="0.3">
      <c r="B97" s="22" t="s">
        <v>117</v>
      </c>
      <c r="C97" s="105">
        <f>'2) Angaben DB'!B26</f>
        <v>20</v>
      </c>
      <c r="D97" s="51"/>
      <c r="E97" s="81">
        <f>IF('2) Angaben DB'!E26, (IF(B8, 385, (385/1.19))), 0)</f>
        <v>0</v>
      </c>
      <c r="F97" s="81">
        <f>C97*2.4*E97</f>
        <v>0</v>
      </c>
      <c r="G97" s="352">
        <v>0.5</v>
      </c>
      <c r="H97" s="58">
        <v>0.5</v>
      </c>
      <c r="I97" s="229">
        <v>25</v>
      </c>
      <c r="J97" s="10">
        <f>F97/I97</f>
        <v>0</v>
      </c>
      <c r="K97" s="76"/>
      <c r="L97" s="51"/>
    </row>
    <row r="98" spans="2:15" x14ac:dyDescent="0.3">
      <c r="B98" s="172" t="s">
        <v>204</v>
      </c>
      <c r="C98" s="213"/>
      <c r="D98" s="213"/>
      <c r="E98" s="230"/>
      <c r="F98" s="275">
        <f>F97</f>
        <v>0</v>
      </c>
      <c r="G98" s="228">
        <f>AVERAGE(G97:G97)</f>
        <v>0.5</v>
      </c>
      <c r="H98" s="228">
        <f>AVERAGE(H97:H97)</f>
        <v>0.5</v>
      </c>
      <c r="I98" s="230"/>
      <c r="J98" s="77">
        <f>SUM(J97:J97)</f>
        <v>0</v>
      </c>
      <c r="K98" s="101" t="s">
        <v>92</v>
      </c>
      <c r="L98" s="51"/>
    </row>
    <row r="99" spans="2:15" x14ac:dyDescent="0.3">
      <c r="B99" s="54"/>
      <c r="C99" s="51"/>
      <c r="D99" s="51"/>
      <c r="E99" s="51"/>
      <c r="F99" s="51"/>
      <c r="G99" s="231"/>
      <c r="H99" s="231"/>
      <c r="I99" s="51"/>
      <c r="J99" s="59"/>
      <c r="K99" s="76"/>
      <c r="L99" s="51"/>
    </row>
    <row r="100" spans="2:15" x14ac:dyDescent="0.3">
      <c r="B100" s="94" t="s">
        <v>226</v>
      </c>
      <c r="C100" s="51"/>
      <c r="D100" s="51"/>
      <c r="E100" s="51"/>
      <c r="F100" s="51"/>
      <c r="G100" s="231"/>
      <c r="H100" s="231"/>
      <c r="I100" s="51"/>
      <c r="J100" s="106">
        <f>J94+J98</f>
        <v>0</v>
      </c>
      <c r="K100" s="103" t="s">
        <v>92</v>
      </c>
      <c r="L100" s="51"/>
    </row>
    <row r="101" spans="2:15" s="232" customFormat="1" x14ac:dyDescent="0.3">
      <c r="B101" s="66"/>
      <c r="C101" s="52"/>
      <c r="D101" s="52"/>
      <c r="E101" s="52"/>
      <c r="F101" s="52"/>
      <c r="G101" s="233"/>
      <c r="H101" s="233"/>
      <c r="I101" s="52"/>
      <c r="J101" s="122"/>
      <c r="K101" s="123"/>
      <c r="L101" s="52"/>
    </row>
    <row r="102" spans="2:15" x14ac:dyDescent="0.3">
      <c r="B102" s="94" t="s">
        <v>82</v>
      </c>
      <c r="D102" s="12">
        <v>0.01</v>
      </c>
      <c r="E102" s="51" t="s">
        <v>239</v>
      </c>
      <c r="F102" s="51"/>
      <c r="G102" s="51"/>
      <c r="H102" s="51"/>
      <c r="I102" s="51"/>
      <c r="J102" s="71">
        <f>D102*(F94+F98)</f>
        <v>0</v>
      </c>
      <c r="K102" s="103" t="s">
        <v>92</v>
      </c>
      <c r="L102" s="51"/>
    </row>
    <row r="103" spans="2:15" s="232" customFormat="1" x14ac:dyDescent="0.3">
      <c r="B103" s="66"/>
      <c r="D103" s="499"/>
      <c r="E103" s="52"/>
      <c r="F103" s="52"/>
      <c r="G103" s="52"/>
      <c r="H103" s="52"/>
      <c r="I103" s="52"/>
      <c r="J103" s="87"/>
      <c r="K103" s="123"/>
      <c r="L103" s="52"/>
    </row>
    <row r="104" spans="2:15" x14ac:dyDescent="0.3">
      <c r="B104" s="94" t="s">
        <v>83</v>
      </c>
      <c r="D104" s="47">
        <v>4.5999999999999999E-2</v>
      </c>
      <c r="E104" s="51" t="s">
        <v>231</v>
      </c>
      <c r="F104" s="51"/>
      <c r="G104" s="51"/>
      <c r="H104" s="51"/>
      <c r="I104" s="51"/>
      <c r="J104" s="71">
        <f>D104*0.5*((H94*F94)+(F98*H98))</f>
        <v>0</v>
      </c>
      <c r="K104" s="103" t="s">
        <v>92</v>
      </c>
      <c r="L104" s="51"/>
    </row>
    <row r="105" spans="2:15" x14ac:dyDescent="0.3">
      <c r="B105" s="54"/>
      <c r="C105" s="51"/>
      <c r="D105" s="51"/>
      <c r="E105" s="51"/>
      <c r="F105" s="51"/>
      <c r="G105" s="51"/>
      <c r="H105" s="51"/>
      <c r="I105" s="51"/>
      <c r="J105" s="51"/>
      <c r="K105" s="53"/>
      <c r="L105" s="51"/>
    </row>
    <row r="106" spans="2:15" ht="15" thickBot="1" x14ac:dyDescent="0.35">
      <c r="B106" s="124" t="s">
        <v>228</v>
      </c>
      <c r="C106" s="206"/>
      <c r="D106" s="206"/>
      <c r="E106" s="206"/>
      <c r="F106" s="206"/>
      <c r="G106" s="206"/>
      <c r="H106" s="206"/>
      <c r="I106" s="206"/>
      <c r="J106" s="497">
        <f>J100+J102+J104</f>
        <v>0</v>
      </c>
      <c r="K106" s="109" t="s">
        <v>92</v>
      </c>
      <c r="L106" s="51"/>
      <c r="M106" s="95">
        <f>J106/E21</f>
        <v>0</v>
      </c>
      <c r="N106" s="70" t="s">
        <v>285</v>
      </c>
    </row>
    <row r="107" spans="2:15" ht="15" thickBot="1" x14ac:dyDescent="0.35">
      <c r="J107" s="25"/>
    </row>
    <row r="108" spans="2:15" x14ac:dyDescent="0.3">
      <c r="B108" s="107" t="s">
        <v>84</v>
      </c>
      <c r="C108" s="207"/>
      <c r="D108" s="207"/>
      <c r="E108" s="207"/>
      <c r="F108" s="207"/>
      <c r="G108" s="207"/>
      <c r="H108" s="207"/>
      <c r="I108" s="207"/>
      <c r="J108" s="207"/>
      <c r="K108" s="224"/>
      <c r="L108" s="51"/>
      <c r="M108" s="51"/>
      <c r="N108" s="51"/>
      <c r="O108" s="55"/>
    </row>
    <row r="109" spans="2:15" x14ac:dyDescent="0.3">
      <c r="B109" s="234" t="s">
        <v>192</v>
      </c>
      <c r="C109" s="217">
        <f>C70</f>
        <v>217.74099999999999</v>
      </c>
      <c r="D109" s="51"/>
      <c r="E109" s="51"/>
      <c r="F109" s="51"/>
      <c r="G109" s="51"/>
      <c r="H109" s="51"/>
      <c r="I109" s="51"/>
      <c r="J109" s="51"/>
      <c r="K109" s="76"/>
      <c r="L109" s="51"/>
      <c r="M109" s="51"/>
      <c r="N109" s="51"/>
      <c r="O109" s="55"/>
    </row>
    <row r="110" spans="2:15" x14ac:dyDescent="0.3">
      <c r="B110" s="218" t="s">
        <v>253</v>
      </c>
      <c r="C110" s="51">
        <f>'2) Angaben DB'!B22</f>
        <v>0</v>
      </c>
      <c r="D110" s="51" t="s">
        <v>188</v>
      </c>
      <c r="E110" s="51"/>
      <c r="F110" s="51"/>
      <c r="G110" s="51"/>
      <c r="H110" s="51"/>
      <c r="I110" s="51"/>
      <c r="J110" s="219"/>
      <c r="K110" s="220"/>
      <c r="L110" s="51"/>
      <c r="M110" s="51"/>
      <c r="N110" s="51"/>
      <c r="O110" s="55"/>
    </row>
    <row r="111" spans="2:15" x14ac:dyDescent="0.3">
      <c r="B111" s="216" t="s">
        <v>125</v>
      </c>
      <c r="C111" s="12">
        <f>C110*50/C70</f>
        <v>0</v>
      </c>
      <c r="D111" s="51" t="s">
        <v>189</v>
      </c>
      <c r="E111" s="51"/>
      <c r="F111" s="51"/>
      <c r="G111" s="51"/>
      <c r="H111" s="51"/>
      <c r="I111" s="51"/>
      <c r="J111" s="51"/>
      <c r="K111" s="76"/>
      <c r="L111" s="51"/>
      <c r="M111" s="51"/>
      <c r="N111" s="51"/>
      <c r="O111" s="55"/>
    </row>
    <row r="112" spans="2:15" x14ac:dyDescent="0.3">
      <c r="B112" s="54" t="s">
        <v>126</v>
      </c>
      <c r="C112" s="351">
        <v>24</v>
      </c>
      <c r="D112" s="51" t="s">
        <v>127</v>
      </c>
      <c r="E112" s="51"/>
      <c r="F112" s="51"/>
      <c r="G112" s="51"/>
      <c r="H112" s="51"/>
      <c r="I112" s="51"/>
      <c r="J112" s="12"/>
      <c r="K112" s="76"/>
      <c r="L112" s="51"/>
      <c r="M112" s="51"/>
      <c r="N112" s="51"/>
      <c r="O112" s="55"/>
    </row>
    <row r="113" spans="2:15" ht="15" thickBot="1" x14ac:dyDescent="0.35">
      <c r="B113" s="214"/>
      <c r="C113" s="206"/>
      <c r="D113" s="206"/>
      <c r="E113" s="206"/>
      <c r="F113" s="206"/>
      <c r="G113" s="206"/>
      <c r="H113" s="206"/>
      <c r="I113" s="206"/>
      <c r="J113" s="108">
        <f>C111*C109*C112</f>
        <v>0</v>
      </c>
      <c r="K113" s="109" t="s">
        <v>67</v>
      </c>
      <c r="L113" s="51"/>
      <c r="M113" s="95">
        <f>J113/E21</f>
        <v>0</v>
      </c>
      <c r="N113" s="70" t="s">
        <v>285</v>
      </c>
      <c r="O113" s="55"/>
    </row>
    <row r="114" spans="2:15" ht="15" thickBot="1" x14ac:dyDescent="0.35"/>
    <row r="115" spans="2:15" x14ac:dyDescent="0.3">
      <c r="B115" s="107" t="s">
        <v>172</v>
      </c>
      <c r="C115" s="207"/>
      <c r="D115" s="207"/>
      <c r="E115" s="207"/>
      <c r="F115" s="207"/>
      <c r="G115" s="207"/>
      <c r="H115" s="207"/>
      <c r="I115" s="207"/>
      <c r="J115" s="207"/>
      <c r="K115" s="224"/>
      <c r="L115" s="51"/>
      <c r="M115" s="51"/>
      <c r="N115" s="51"/>
      <c r="O115" s="55"/>
    </row>
    <row r="116" spans="2:15" x14ac:dyDescent="0.3">
      <c r="B116" s="54" t="s">
        <v>238</v>
      </c>
      <c r="C116" s="51"/>
      <c r="D116" s="51"/>
      <c r="E116" s="51"/>
      <c r="F116" s="51"/>
      <c r="G116" s="51"/>
      <c r="H116" s="51"/>
      <c r="I116" s="51"/>
      <c r="J116" s="10">
        <f>IF(B8, 280, 280/1.19)</f>
        <v>280</v>
      </c>
      <c r="K116" s="76" t="s">
        <v>92</v>
      </c>
      <c r="L116" s="51"/>
      <c r="M116" s="51"/>
      <c r="N116" s="51"/>
      <c r="O116" s="51"/>
    </row>
    <row r="117" spans="2:15" x14ac:dyDescent="0.3">
      <c r="B117" s="54" t="s">
        <v>85</v>
      </c>
      <c r="C117" s="51"/>
      <c r="D117" s="51"/>
      <c r="E117" s="51"/>
      <c r="F117" s="51"/>
      <c r="G117" s="51"/>
      <c r="H117" s="51"/>
      <c r="I117" s="51"/>
      <c r="J117" s="10">
        <f>IF(B8, (5.83*12*(C15-1)), ((5.83*12*(C15-1))/1.19))</f>
        <v>209.88000000000002</v>
      </c>
      <c r="K117" s="76" t="s">
        <v>92</v>
      </c>
      <c r="L117" s="51"/>
      <c r="M117" s="51"/>
      <c r="N117" s="51"/>
      <c r="O117" s="51"/>
    </row>
    <row r="118" spans="2:15" x14ac:dyDescent="0.3">
      <c r="B118" s="54" t="s">
        <v>86</v>
      </c>
      <c r="C118" s="51"/>
      <c r="D118" s="51"/>
      <c r="E118" s="51"/>
      <c r="F118" s="51"/>
      <c r="G118" s="51"/>
      <c r="H118" s="51"/>
      <c r="I118" s="51"/>
      <c r="J118" s="10">
        <f>IF(B8, 152, (152/1.19))</f>
        <v>152</v>
      </c>
      <c r="K118" s="76" t="s">
        <v>92</v>
      </c>
      <c r="L118" s="51"/>
      <c r="M118" s="51"/>
      <c r="N118" s="51"/>
      <c r="O118" s="51"/>
    </row>
    <row r="119" spans="2:15" x14ac:dyDescent="0.3">
      <c r="B119" s="54" t="s">
        <v>183</v>
      </c>
      <c r="C119" s="51"/>
      <c r="D119" s="51"/>
      <c r="E119" s="51"/>
      <c r="F119" s="51"/>
      <c r="G119" s="51"/>
      <c r="H119" s="51"/>
      <c r="I119" s="51"/>
      <c r="J119" s="10">
        <f>IF(B8, 611.4, (611.4/1.19))</f>
        <v>611.4</v>
      </c>
      <c r="K119" s="76" t="s">
        <v>92</v>
      </c>
      <c r="L119" s="51"/>
      <c r="M119" s="51"/>
      <c r="N119" s="51"/>
      <c r="O119" s="51"/>
    </row>
    <row r="120" spans="2:15" x14ac:dyDescent="0.3">
      <c r="B120" s="54" t="s">
        <v>184</v>
      </c>
      <c r="C120" s="51"/>
      <c r="D120" s="51"/>
      <c r="E120" s="51"/>
      <c r="F120" s="51"/>
      <c r="G120" s="51"/>
      <c r="H120" s="51"/>
      <c r="I120" s="51"/>
      <c r="J120" s="10">
        <f>IF(B8, 3500, (3500/1.19))</f>
        <v>3500</v>
      </c>
      <c r="K120" s="76" t="s">
        <v>92</v>
      </c>
      <c r="L120" s="51"/>
      <c r="M120" s="51"/>
      <c r="N120" s="51"/>
      <c r="O120" s="51"/>
    </row>
    <row r="121" spans="2:15" x14ac:dyDescent="0.3">
      <c r="B121" s="54" t="s">
        <v>87</v>
      </c>
      <c r="C121" s="51"/>
      <c r="D121" s="51"/>
      <c r="E121" s="51"/>
      <c r="F121" s="51"/>
      <c r="G121" s="51"/>
      <c r="H121" s="51"/>
      <c r="I121" s="51"/>
      <c r="J121" s="10">
        <f>IF(B8, (109+230+147), ((109+230+147)/1.19))</f>
        <v>486</v>
      </c>
      <c r="K121" s="76" t="s">
        <v>92</v>
      </c>
      <c r="L121" s="51"/>
      <c r="M121" s="51"/>
      <c r="N121" s="51"/>
      <c r="O121" s="51"/>
    </row>
    <row r="122" spans="2:15" x14ac:dyDescent="0.3">
      <c r="B122" s="54" t="s">
        <v>88</v>
      </c>
      <c r="C122" s="51"/>
      <c r="D122" s="51"/>
      <c r="E122" s="51"/>
      <c r="F122" s="51"/>
      <c r="G122" s="51"/>
      <c r="H122" s="51"/>
      <c r="I122" s="51"/>
      <c r="J122" s="10">
        <v>215</v>
      </c>
      <c r="K122" s="76" t="s">
        <v>92</v>
      </c>
      <c r="L122" s="51"/>
      <c r="M122" s="51"/>
      <c r="N122" s="51"/>
      <c r="O122" s="51"/>
    </row>
    <row r="123" spans="2:15" x14ac:dyDescent="0.3">
      <c r="B123" s="212" t="s">
        <v>185</v>
      </c>
      <c r="C123" s="210"/>
      <c r="D123" s="51"/>
      <c r="E123" s="51"/>
      <c r="F123" s="51"/>
      <c r="G123" s="51"/>
      <c r="H123" s="51"/>
      <c r="I123" s="210"/>
      <c r="J123" s="64">
        <v>0</v>
      </c>
      <c r="K123" s="235" t="s">
        <v>92</v>
      </c>
      <c r="L123" s="51"/>
      <c r="M123" s="51"/>
      <c r="N123" s="51"/>
      <c r="O123" s="51"/>
    </row>
    <row r="124" spans="2:15" x14ac:dyDescent="0.3">
      <c r="B124" s="54" t="s">
        <v>65</v>
      </c>
      <c r="C124" s="51"/>
      <c r="D124" s="51"/>
      <c r="E124" s="51"/>
      <c r="F124" s="51"/>
      <c r="G124" s="51"/>
      <c r="H124" s="51"/>
      <c r="I124" s="59"/>
      <c r="J124" s="60">
        <f>SUM(J116:J123)</f>
        <v>5454.28</v>
      </c>
      <c r="K124" s="53" t="s">
        <v>92</v>
      </c>
      <c r="L124" s="51"/>
      <c r="M124" s="51"/>
      <c r="N124" s="51"/>
      <c r="O124" s="51"/>
    </row>
    <row r="125" spans="2:15" ht="15" thickBot="1" x14ac:dyDescent="0.35">
      <c r="B125" s="214" t="s">
        <v>174</v>
      </c>
      <c r="C125" s="206"/>
      <c r="D125" s="206"/>
      <c r="E125" s="206"/>
      <c r="F125" s="206"/>
      <c r="G125" s="206"/>
      <c r="H125" s="206"/>
      <c r="I125" s="65">
        <v>0.1</v>
      </c>
      <c r="J125" s="108">
        <f>J124*I125</f>
        <v>545.428</v>
      </c>
      <c r="K125" s="109" t="s">
        <v>92</v>
      </c>
      <c r="L125" s="51"/>
      <c r="M125" s="95">
        <f>J125/E21</f>
        <v>1.5673218390804597</v>
      </c>
      <c r="N125" s="70" t="s">
        <v>285</v>
      </c>
      <c r="O125" s="51"/>
    </row>
    <row r="126" spans="2:15" x14ac:dyDescent="0.3">
      <c r="B126" s="51"/>
      <c r="C126" s="51"/>
      <c r="D126" s="51"/>
      <c r="E126" s="51"/>
      <c r="F126" s="51"/>
      <c r="G126" s="51"/>
      <c r="H126" s="51"/>
      <c r="I126" s="51"/>
      <c r="J126" s="51"/>
      <c r="K126" s="51"/>
      <c r="L126" s="51"/>
      <c r="M126" s="51"/>
      <c r="N126" s="51"/>
      <c r="O126" s="51"/>
    </row>
    <row r="127" spans="2:15" x14ac:dyDescent="0.3">
      <c r="B127" s="40"/>
      <c r="C127" s="40"/>
      <c r="D127" s="40"/>
      <c r="E127" s="40"/>
      <c r="F127" s="40"/>
    </row>
    <row r="128" spans="2:15" x14ac:dyDescent="0.3">
      <c r="B128" s="40" t="s">
        <v>173</v>
      </c>
      <c r="C128" s="40"/>
      <c r="D128" s="40"/>
      <c r="J128" s="87">
        <f>E84</f>
        <v>4351.4567999999999</v>
      </c>
      <c r="K128" s="40" t="s">
        <v>92</v>
      </c>
    </row>
    <row r="129" spans="1:14" x14ac:dyDescent="0.3">
      <c r="A129" s="236" t="s">
        <v>68</v>
      </c>
      <c r="B129" s="40" t="str">
        <f>B91</f>
        <v>Investitionskosten</v>
      </c>
      <c r="C129" s="40"/>
      <c r="D129" s="40"/>
      <c r="J129" s="87">
        <f>J106</f>
        <v>0</v>
      </c>
      <c r="K129" s="40" t="s">
        <v>92</v>
      </c>
    </row>
    <row r="130" spans="1:14" x14ac:dyDescent="0.3">
      <c r="A130" s="236" t="s">
        <v>68</v>
      </c>
      <c r="B130" s="40" t="str">
        <f>B108</f>
        <v>Personalkosten Arbeiten festangestellte AK</v>
      </c>
      <c r="C130" s="40"/>
      <c r="D130" s="40"/>
      <c r="J130" s="87">
        <f>J113</f>
        <v>0</v>
      </c>
      <c r="K130" s="40" t="s">
        <v>92</v>
      </c>
    </row>
    <row r="131" spans="1:14" ht="15" thickBot="1" x14ac:dyDescent="0.35">
      <c r="A131" s="236" t="s">
        <v>68</v>
      </c>
      <c r="B131" s="40" t="str">
        <f>B115</f>
        <v>Sonstige Festkosten</v>
      </c>
      <c r="C131" s="40"/>
      <c r="D131" s="40"/>
      <c r="J131" s="87">
        <f>J125</f>
        <v>545.428</v>
      </c>
      <c r="K131" s="40" t="s">
        <v>92</v>
      </c>
    </row>
    <row r="132" spans="1:14" ht="15" thickBot="1" x14ac:dyDescent="0.35">
      <c r="A132" s="236" t="s">
        <v>69</v>
      </c>
      <c r="B132" s="111" t="s">
        <v>227</v>
      </c>
      <c r="C132" s="112"/>
      <c r="D132" s="112"/>
      <c r="E132" s="112"/>
      <c r="F132" s="112"/>
      <c r="G132" s="112"/>
      <c r="H132" s="112"/>
      <c r="I132" s="112"/>
      <c r="J132" s="264">
        <f>J128-J129-J130-J131</f>
        <v>3806.0288</v>
      </c>
      <c r="K132" s="114" t="s">
        <v>92</v>
      </c>
      <c r="M132" s="115">
        <f>J132/E21</f>
        <v>10.936864367816092</v>
      </c>
      <c r="N132" s="125" t="s">
        <v>285</v>
      </c>
    </row>
    <row r="133" spans="1:14" ht="15" thickBot="1" x14ac:dyDescent="0.35">
      <c r="G133" s="48"/>
      <c r="J133" s="59"/>
    </row>
    <row r="134" spans="1:14" ht="15" thickBot="1" x14ac:dyDescent="0.35">
      <c r="A134" s="242" t="s">
        <v>68</v>
      </c>
      <c r="B134" s="121" t="s">
        <v>193</v>
      </c>
      <c r="C134" s="207"/>
      <c r="D134" s="207"/>
      <c r="E134" s="207"/>
      <c r="F134" s="207"/>
      <c r="G134" s="207"/>
      <c r="H134" s="207"/>
      <c r="I134" s="207"/>
      <c r="J134" s="207"/>
      <c r="K134" s="224"/>
    </row>
    <row r="135" spans="1:14" x14ac:dyDescent="0.3">
      <c r="B135" s="54" t="s">
        <v>93</v>
      </c>
      <c r="C135" s="51"/>
      <c r="D135" s="51"/>
      <c r="E135" s="51"/>
      <c r="F135" s="51"/>
      <c r="G135" s="51"/>
      <c r="H135" s="51"/>
      <c r="I135" s="51"/>
      <c r="J135" s="51"/>
      <c r="K135" s="76"/>
    </row>
    <row r="136" spans="1:14" x14ac:dyDescent="0.3">
      <c r="B136" s="54"/>
      <c r="C136" s="51"/>
      <c r="D136" s="51"/>
      <c r="E136" s="51"/>
      <c r="F136" s="51"/>
      <c r="G136" s="51"/>
      <c r="H136" s="51"/>
      <c r="I136" s="51"/>
      <c r="J136" s="51"/>
      <c r="K136" s="76"/>
    </row>
    <row r="137" spans="1:14" x14ac:dyDescent="0.3">
      <c r="B137" s="358" t="s">
        <v>94</v>
      </c>
      <c r="C137" s="47">
        <v>3.3000000000000002E-2</v>
      </c>
      <c r="D137" s="51" t="s">
        <v>91</v>
      </c>
      <c r="E137" s="51"/>
      <c r="F137" s="52"/>
      <c r="G137" s="52"/>
      <c r="H137" s="51"/>
      <c r="I137" s="51"/>
      <c r="J137" s="359">
        <f>C137*0.5*((G94*F94)+(F98*G98))</f>
        <v>0</v>
      </c>
      <c r="K137" s="360" t="s">
        <v>92</v>
      </c>
      <c r="M137" s="115">
        <f>J137/E21</f>
        <v>0</v>
      </c>
      <c r="N137" s="125" t="s">
        <v>285</v>
      </c>
    </row>
    <row r="138" spans="1:14" x14ac:dyDescent="0.3">
      <c r="B138" s="89"/>
      <c r="C138" s="59"/>
      <c r="D138" s="59"/>
      <c r="E138" s="51"/>
      <c r="F138" s="51"/>
      <c r="G138" s="51"/>
      <c r="H138" s="51"/>
      <c r="I138" s="51"/>
      <c r="J138" s="361"/>
      <c r="K138" s="53"/>
    </row>
    <row r="139" spans="1:14" x14ac:dyDescent="0.3">
      <c r="B139" s="358" t="s">
        <v>95</v>
      </c>
      <c r="C139" s="59"/>
      <c r="D139" s="59"/>
      <c r="E139" s="51"/>
      <c r="F139" s="51"/>
      <c r="G139" s="51"/>
      <c r="H139" s="51"/>
      <c r="I139" s="51"/>
      <c r="J139" s="51"/>
      <c r="K139" s="76"/>
    </row>
    <row r="140" spans="1:14" x14ac:dyDescent="0.3">
      <c r="B140" s="54" t="s">
        <v>192</v>
      </c>
      <c r="C140" s="217">
        <f>C70</f>
        <v>217.74099999999999</v>
      </c>
      <c r="D140" s="51"/>
      <c r="E140" s="51"/>
      <c r="F140" s="51"/>
      <c r="G140" s="51"/>
      <c r="H140" s="51"/>
      <c r="I140" s="51"/>
      <c r="J140" s="51"/>
      <c r="K140" s="76"/>
    </row>
    <row r="141" spans="1:14" x14ac:dyDescent="0.3">
      <c r="B141" s="54" t="s">
        <v>254</v>
      </c>
      <c r="C141" s="237">
        <f>1-C73-C111</f>
        <v>1</v>
      </c>
      <c r="D141" s="51" t="s">
        <v>189</v>
      </c>
      <c r="E141" s="51"/>
      <c r="F141" s="51"/>
      <c r="G141" s="51"/>
      <c r="H141" s="51"/>
      <c r="I141" s="51"/>
      <c r="J141" s="51"/>
      <c r="K141" s="76"/>
    </row>
    <row r="142" spans="1:14" x14ac:dyDescent="0.3">
      <c r="B142" s="54" t="s">
        <v>95</v>
      </c>
      <c r="C142" s="353">
        <v>24</v>
      </c>
      <c r="D142" s="51" t="s">
        <v>127</v>
      </c>
      <c r="E142" s="51"/>
      <c r="F142" s="51"/>
      <c r="G142" s="51"/>
      <c r="H142" s="51"/>
      <c r="I142" s="51"/>
      <c r="J142" s="362">
        <f>C140*C141*C142</f>
        <v>5225.7839999999997</v>
      </c>
      <c r="K142" s="360" t="s">
        <v>92</v>
      </c>
      <c r="M142" s="115">
        <f>J142/E21</f>
        <v>15.016620689655172</v>
      </c>
      <c r="N142" s="125" t="s">
        <v>285</v>
      </c>
    </row>
    <row r="143" spans="1:14" x14ac:dyDescent="0.3">
      <c r="B143" s="54"/>
      <c r="C143" s="73"/>
      <c r="D143" s="51"/>
      <c r="E143" s="51"/>
      <c r="F143" s="51"/>
      <c r="G143" s="51"/>
      <c r="H143" s="51"/>
      <c r="I143" s="51"/>
      <c r="J143" s="51"/>
      <c r="K143" s="76"/>
    </row>
    <row r="144" spans="1:14" ht="15" thickBot="1" x14ac:dyDescent="0.35">
      <c r="B144" s="110" t="s">
        <v>96</v>
      </c>
      <c r="C144" s="47">
        <v>3.3000000000000002E-2</v>
      </c>
      <c r="D144" s="363"/>
      <c r="E144" s="206"/>
      <c r="F144" s="206"/>
      <c r="G144" s="206"/>
      <c r="H144" s="206"/>
      <c r="I144" s="206"/>
      <c r="J144" s="364">
        <v>0</v>
      </c>
      <c r="K144" s="365" t="s">
        <v>92</v>
      </c>
      <c r="M144" s="115">
        <f>J144/E21</f>
        <v>0</v>
      </c>
      <c r="N144" s="125" t="s">
        <v>285</v>
      </c>
    </row>
    <row r="145" spans="1:14" x14ac:dyDescent="0.3">
      <c r="B145" s="25"/>
      <c r="C145" s="25"/>
      <c r="D145" s="25"/>
      <c r="J145" s="49"/>
      <c r="K145" s="25"/>
    </row>
    <row r="146" spans="1:14" ht="15" thickBot="1" x14ac:dyDescent="0.35">
      <c r="H146" s="25"/>
    </row>
    <row r="147" spans="1:14" ht="15" thickBot="1" x14ac:dyDescent="0.35">
      <c r="A147" s="72" t="s">
        <v>69</v>
      </c>
      <c r="B147" s="116" t="s">
        <v>180</v>
      </c>
      <c r="C147" s="238"/>
      <c r="D147" s="238"/>
      <c r="E147" s="238"/>
      <c r="F147" s="238"/>
      <c r="G147" s="238"/>
      <c r="H147" s="238"/>
      <c r="I147" s="238"/>
      <c r="J147" s="117">
        <f>J132-J137-J142-J144</f>
        <v>-1419.7551999999996</v>
      </c>
      <c r="K147" s="118" t="s">
        <v>92</v>
      </c>
      <c r="M147" s="115">
        <f>J147/E21</f>
        <v>-4.0797563218390795</v>
      </c>
      <c r="N147" s="125" t="s">
        <v>285</v>
      </c>
    </row>
    <row r="148" spans="1:14" x14ac:dyDescent="0.3">
      <c r="B148" s="72" t="s">
        <v>97</v>
      </c>
    </row>
    <row r="149" spans="1:14" ht="15" thickBot="1" x14ac:dyDescent="0.35"/>
    <row r="150" spans="1:14" ht="15" thickBot="1" x14ac:dyDescent="0.35">
      <c r="B150" s="119" t="s">
        <v>181</v>
      </c>
      <c r="C150" s="238"/>
      <c r="D150" s="238"/>
      <c r="E150" s="238"/>
      <c r="F150" s="238"/>
      <c r="G150" s="238"/>
      <c r="H150" s="238"/>
      <c r="I150" s="238"/>
      <c r="J150" s="120">
        <f>J147/(C140*C141)</f>
        <v>-6.5203852283217207</v>
      </c>
      <c r="K150" s="118" t="s">
        <v>99</v>
      </c>
      <c r="M150" s="115">
        <f>J150/E21</f>
        <v>-1.8736739161844027E-2</v>
      </c>
      <c r="N150" s="125" t="s">
        <v>285</v>
      </c>
    </row>
    <row r="151" spans="1:14" x14ac:dyDescent="0.3">
      <c r="B151" s="72" t="s">
        <v>98</v>
      </c>
    </row>
    <row r="152" spans="1:14" ht="15" thickBot="1" x14ac:dyDescent="0.35">
      <c r="H152" s="239"/>
    </row>
    <row r="153" spans="1:14" x14ac:dyDescent="0.3">
      <c r="B153" s="289" t="s">
        <v>284</v>
      </c>
      <c r="C153" s="290"/>
      <c r="D153" s="290"/>
      <c r="E153" s="290"/>
      <c r="F153" s="291"/>
      <c r="G153" s="51"/>
      <c r="H153" s="26"/>
      <c r="J153" s="24"/>
      <c r="K153" s="51"/>
    </row>
    <row r="154" spans="1:14" x14ac:dyDescent="0.3">
      <c r="B154" s="356" t="s">
        <v>220</v>
      </c>
      <c r="C154" s="286"/>
      <c r="D154" s="288"/>
      <c r="E154" s="292">
        <f>H82</f>
        <v>16.495813793103448</v>
      </c>
      <c r="F154" s="293" t="s">
        <v>285</v>
      </c>
      <c r="G154" s="51"/>
      <c r="H154" s="30"/>
      <c r="J154" s="52"/>
    </row>
    <row r="155" spans="1:14" x14ac:dyDescent="0.3">
      <c r="B155" s="356" t="s">
        <v>221</v>
      </c>
      <c r="C155" s="287"/>
      <c r="D155" s="288"/>
      <c r="E155" s="292">
        <f>H82+M106+M113+M125</f>
        <v>18.063135632183908</v>
      </c>
      <c r="F155" s="293" t="s">
        <v>285</v>
      </c>
      <c r="G155" s="62"/>
      <c r="H155" s="30"/>
      <c r="J155" s="52"/>
    </row>
    <row r="156" spans="1:14" ht="15" thickBot="1" x14ac:dyDescent="0.35">
      <c r="B156" s="357" t="s">
        <v>222</v>
      </c>
      <c r="C156" s="294"/>
      <c r="D156" s="294"/>
      <c r="E156" s="295">
        <f>H82+M106+M113+M125+M137+M142+M144</f>
        <v>33.079756321839078</v>
      </c>
      <c r="F156" s="296" t="s">
        <v>285</v>
      </c>
      <c r="G156" s="51"/>
      <c r="H156" s="30"/>
      <c r="J156" s="52"/>
    </row>
    <row r="157" spans="1:14" x14ac:dyDescent="0.3">
      <c r="C157" s="51"/>
      <c r="D157" s="51"/>
      <c r="E157" s="51"/>
      <c r="F157" s="51"/>
      <c r="G157" s="61"/>
      <c r="H157" s="30"/>
      <c r="I157" s="52"/>
    </row>
    <row r="158" spans="1:14" x14ac:dyDescent="0.3">
      <c r="B158" s="229"/>
      <c r="C158" s="229"/>
      <c r="D158" s="229"/>
      <c r="E158" s="229"/>
      <c r="F158" s="229"/>
      <c r="G158" s="229"/>
      <c r="H158" s="52"/>
      <c r="I158" s="52"/>
    </row>
    <row r="159" spans="1:14" x14ac:dyDescent="0.3">
      <c r="B159" s="229"/>
      <c r="C159" s="240"/>
      <c r="D159" s="241"/>
      <c r="E159" s="229"/>
      <c r="F159" s="9"/>
      <c r="G159" s="61"/>
      <c r="H159" s="52"/>
      <c r="I159" s="52"/>
    </row>
    <row r="160" spans="1:14" x14ac:dyDescent="0.3">
      <c r="B160" s="52"/>
      <c r="C160" s="52"/>
      <c r="D160" s="52"/>
      <c r="E160" s="52"/>
      <c r="F160" s="52"/>
      <c r="G160" s="52"/>
      <c r="H160" s="52"/>
      <c r="I160" s="52"/>
    </row>
    <row r="161" spans="1:9" x14ac:dyDescent="0.3">
      <c r="B161" s="52"/>
      <c r="C161" s="52"/>
      <c r="D161" s="52"/>
      <c r="E161" s="52"/>
      <c r="F161" s="52"/>
      <c r="G161" s="52"/>
      <c r="H161" s="52"/>
      <c r="I161" s="52"/>
    </row>
    <row r="162" spans="1:9" x14ac:dyDescent="0.3">
      <c r="B162" s="52"/>
      <c r="C162" s="52"/>
      <c r="D162" s="52"/>
      <c r="E162" s="52"/>
      <c r="F162" s="52"/>
      <c r="G162" s="52"/>
      <c r="H162" s="52"/>
      <c r="I162" s="52"/>
    </row>
    <row r="163" spans="1:9" x14ac:dyDescent="0.3">
      <c r="B163" s="52"/>
      <c r="C163" s="62"/>
      <c r="D163" s="62"/>
      <c r="E163" s="62"/>
      <c r="F163" s="62"/>
      <c r="G163" s="63"/>
      <c r="H163" s="63"/>
      <c r="I163" s="52"/>
    </row>
    <row r="164" spans="1:9" x14ac:dyDescent="0.3">
      <c r="A164" s="25" t="s">
        <v>303</v>
      </c>
      <c r="B164" s="242"/>
      <c r="C164" s="62"/>
      <c r="D164" s="62"/>
      <c r="E164" s="62"/>
      <c r="F164" s="62"/>
      <c r="G164" s="63"/>
      <c r="H164" s="63"/>
      <c r="I164" s="52"/>
    </row>
    <row r="165" spans="1:9" x14ac:dyDescent="0.3">
      <c r="B165" s="242"/>
      <c r="C165" s="62"/>
      <c r="D165" s="62"/>
      <c r="E165" s="62"/>
      <c r="F165" s="62"/>
      <c r="G165" s="61"/>
      <c r="H165" s="61"/>
      <c r="I165" s="52"/>
    </row>
    <row r="166" spans="1:9" x14ac:dyDescent="0.3">
      <c r="B166" s="242"/>
      <c r="C166" s="52"/>
      <c r="D166" s="52"/>
      <c r="E166" s="52"/>
      <c r="F166" s="52"/>
      <c r="G166" s="52"/>
      <c r="H166" s="52"/>
      <c r="I166" s="52"/>
    </row>
    <row r="167" spans="1:9" x14ac:dyDescent="0.3">
      <c r="B167" s="242"/>
      <c r="C167" s="62"/>
      <c r="D167" s="52"/>
      <c r="E167" s="52"/>
      <c r="F167" s="52"/>
      <c r="G167" s="61"/>
      <c r="H167" s="61"/>
      <c r="I167" s="52"/>
    </row>
    <row r="168" spans="1:9" x14ac:dyDescent="0.3">
      <c r="B168" s="52"/>
      <c r="C168" s="52"/>
      <c r="D168" s="52"/>
      <c r="E168" s="52"/>
      <c r="F168" s="52"/>
      <c r="G168" s="52"/>
      <c r="H168" s="52"/>
      <c r="I168" s="52"/>
    </row>
    <row r="169" spans="1:9" x14ac:dyDescent="0.3">
      <c r="B169" s="52"/>
      <c r="C169" s="52"/>
      <c r="D169" s="52"/>
      <c r="E169" s="52"/>
      <c r="F169" s="52"/>
      <c r="G169" s="52"/>
      <c r="H169" s="52"/>
      <c r="I169" s="52"/>
    </row>
    <row r="172" spans="1:9" x14ac:dyDescent="0.3">
      <c r="B172" s="25"/>
    </row>
    <row r="173" spans="1:9" x14ac:dyDescent="0.3">
      <c r="C173" s="8"/>
    </row>
    <row r="179" spans="2:2" x14ac:dyDescent="0.3">
      <c r="B179" s="25"/>
    </row>
  </sheetData>
  <sheetProtection algorithmName="SHA-512" hashValue="ksqWLC7QO5xO5UqKS0NFNVfgxP/UQ74U9xMRTUxJx6D+CQL87mywFpwBSgQov/M1I5Jdeqt4zslBYk72ybR7Yw==" saltValue="ZxdCJoJaRVJG91OPeqry8g==" spinCount="100000" sheet="1" selectLockedCells="1"/>
  <mergeCells count="10">
    <mergeCell ref="H9:H10"/>
    <mergeCell ref="F9:F11"/>
    <mergeCell ref="G9:G10"/>
    <mergeCell ref="B9:B11"/>
    <mergeCell ref="C9:C11"/>
    <mergeCell ref="C78:C79"/>
    <mergeCell ref="D91:D92"/>
    <mergeCell ref="C62:D62"/>
    <mergeCell ref="D9:D11"/>
    <mergeCell ref="E9:E10"/>
  </mergeCells>
  <pageMargins left="0.23622047244094491" right="0.23622047244094491" top="0.74803149606299213" bottom="0.74803149606299213" header="0.31496062992125984" footer="0.31496062992125984"/>
  <pageSetup paperSize="9" scale="47" fitToHeight="2" orientation="portrait" horizontalDpi="300" r:id="rId1"/>
  <ignoredErrors>
    <ignoredError sqref="B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1249680</xdr:colOff>
                    <xdr:row>6</xdr:row>
                    <xdr:rowOff>137160</xdr:rowOff>
                  </from>
                  <to>
                    <xdr:col>1</xdr:col>
                    <xdr:colOff>1516380</xdr:colOff>
                    <xdr:row>7</xdr:row>
                    <xdr:rowOff>175260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90A5-401D-453C-99EE-46F2C44DF012}">
  <dimension ref="A1:O52"/>
  <sheetViews>
    <sheetView zoomScale="80" zoomScaleNormal="80" workbookViewId="0">
      <selection activeCell="F46" sqref="F46"/>
    </sheetView>
  </sheetViews>
  <sheetFormatPr baseColWidth="10" defaultRowHeight="14.4" x14ac:dyDescent="0.3"/>
  <cols>
    <col min="1" max="1" width="18.44140625" customWidth="1"/>
    <col min="4" max="5" width="12.6640625" customWidth="1"/>
    <col min="6" max="7" width="12" customWidth="1"/>
  </cols>
  <sheetData>
    <row r="1" spans="1:8" x14ac:dyDescent="0.3">
      <c r="A1" s="308" t="s">
        <v>135</v>
      </c>
      <c r="B1" s="299"/>
      <c r="C1" s="299"/>
      <c r="D1" s="299"/>
      <c r="E1" s="299"/>
      <c r="F1" s="299"/>
      <c r="G1" s="299"/>
      <c r="H1" s="300"/>
    </row>
    <row r="2" spans="1:8" x14ac:dyDescent="0.3">
      <c r="A2" s="301" t="s">
        <v>136</v>
      </c>
      <c r="B2" s="302"/>
      <c r="C2" s="302"/>
      <c r="D2" s="302"/>
      <c r="E2" s="302"/>
      <c r="F2" s="302"/>
      <c r="G2" s="302"/>
      <c r="H2" s="303"/>
    </row>
    <row r="3" spans="1:8" x14ac:dyDescent="0.3">
      <c r="A3" s="301" t="s">
        <v>137</v>
      </c>
      <c r="B3" s="302"/>
      <c r="C3" s="302"/>
      <c r="D3" s="302"/>
      <c r="E3" s="302"/>
      <c r="F3" s="302"/>
      <c r="G3" s="302"/>
      <c r="H3" s="303"/>
    </row>
    <row r="4" spans="1:8" x14ac:dyDescent="0.3">
      <c r="A4" s="301" t="s">
        <v>138</v>
      </c>
      <c r="B4" s="302"/>
      <c r="C4" s="302"/>
      <c r="D4" s="302"/>
      <c r="E4" s="302"/>
      <c r="F4" s="302"/>
      <c r="G4" s="302"/>
      <c r="H4" s="303"/>
    </row>
    <row r="5" spans="1:8" x14ac:dyDescent="0.3">
      <c r="A5" s="301"/>
      <c r="B5" s="302"/>
      <c r="C5" s="302"/>
      <c r="D5" s="302"/>
      <c r="E5" s="302"/>
      <c r="F5" s="302"/>
      <c r="G5" s="302"/>
      <c r="H5" s="303"/>
    </row>
    <row r="6" spans="1:8" x14ac:dyDescent="0.3">
      <c r="A6" s="301" t="s">
        <v>242</v>
      </c>
      <c r="B6" s="302"/>
      <c r="C6" s="302"/>
      <c r="D6" s="302"/>
      <c r="E6" s="302"/>
      <c r="F6" s="302"/>
      <c r="G6" s="302"/>
      <c r="H6" s="303"/>
    </row>
    <row r="7" spans="1:8" x14ac:dyDescent="0.3">
      <c r="A7" s="301"/>
      <c r="B7" s="302"/>
      <c r="C7" s="302"/>
      <c r="D7" s="302"/>
      <c r="E7" s="302"/>
      <c r="F7" s="302"/>
      <c r="G7" s="302"/>
      <c r="H7" s="303"/>
    </row>
    <row r="8" spans="1:8" x14ac:dyDescent="0.3">
      <c r="A8" s="301" t="s">
        <v>243</v>
      </c>
      <c r="B8" s="302"/>
      <c r="C8" s="302"/>
      <c r="D8" s="302"/>
      <c r="E8" s="302"/>
      <c r="F8" s="302"/>
      <c r="G8" s="302"/>
      <c r="H8" s="303"/>
    </row>
    <row r="9" spans="1:8" x14ac:dyDescent="0.3">
      <c r="A9" s="301" t="s">
        <v>139</v>
      </c>
      <c r="B9" s="302"/>
      <c r="C9" s="302"/>
      <c r="D9" s="302"/>
      <c r="E9" s="302"/>
      <c r="F9" s="302"/>
      <c r="G9" s="302"/>
      <c r="H9" s="303"/>
    </row>
    <row r="10" spans="1:8" x14ac:dyDescent="0.3">
      <c r="A10" s="301"/>
      <c r="B10" s="302"/>
      <c r="C10" s="302"/>
      <c r="D10" s="302"/>
      <c r="E10" s="302"/>
      <c r="F10" s="302"/>
      <c r="G10" s="302"/>
      <c r="H10" s="303"/>
    </row>
    <row r="11" spans="1:8" x14ac:dyDescent="0.3">
      <c r="A11" s="301" t="s">
        <v>244</v>
      </c>
      <c r="B11" s="302"/>
      <c r="C11" s="302"/>
      <c r="D11" s="302"/>
      <c r="E11" s="302"/>
      <c r="F11" s="302"/>
      <c r="G11" s="302"/>
      <c r="H11" s="303"/>
    </row>
    <row r="12" spans="1:8" x14ac:dyDescent="0.3">
      <c r="A12" s="301"/>
      <c r="B12" s="302"/>
      <c r="C12" s="302"/>
      <c r="D12" s="302"/>
      <c r="E12" s="302"/>
      <c r="F12" s="302"/>
      <c r="G12" s="302"/>
      <c r="H12" s="303"/>
    </row>
    <row r="13" spans="1:8" x14ac:dyDescent="0.3">
      <c r="A13" s="304" t="s">
        <v>140</v>
      </c>
      <c r="B13" s="302"/>
      <c r="C13" s="302"/>
      <c r="D13" s="302"/>
      <c r="E13" s="302"/>
      <c r="F13" s="302"/>
      <c r="G13" s="302"/>
      <c r="H13" s="303"/>
    </row>
    <row r="14" spans="1:8" x14ac:dyDescent="0.3">
      <c r="A14" s="301"/>
      <c r="B14" s="302"/>
      <c r="C14" s="302"/>
      <c r="D14" s="302"/>
      <c r="E14" s="302"/>
      <c r="F14" s="302"/>
      <c r="G14" s="302"/>
      <c r="H14" s="303"/>
    </row>
    <row r="15" spans="1:8" x14ac:dyDescent="0.3">
      <c r="A15" s="304" t="s">
        <v>141</v>
      </c>
      <c r="B15" s="302"/>
      <c r="C15" s="302"/>
      <c r="D15" s="302"/>
      <c r="E15" s="302"/>
      <c r="F15" s="302"/>
      <c r="G15" s="302"/>
      <c r="H15" s="303"/>
    </row>
    <row r="16" spans="1:8" x14ac:dyDescent="0.3">
      <c r="A16" s="301" t="s">
        <v>142</v>
      </c>
      <c r="B16" s="302"/>
      <c r="C16" s="302"/>
      <c r="D16" s="302"/>
      <c r="E16" s="302"/>
      <c r="F16" s="302"/>
      <c r="G16" s="302"/>
      <c r="H16" s="303"/>
    </row>
    <row r="17" spans="1:15" x14ac:dyDescent="0.3">
      <c r="A17" s="301"/>
      <c r="B17" s="302"/>
      <c r="C17" s="302"/>
      <c r="D17" s="302"/>
      <c r="E17" s="302"/>
      <c r="F17" s="302"/>
      <c r="G17" s="302"/>
      <c r="H17" s="303"/>
    </row>
    <row r="18" spans="1:15" x14ac:dyDescent="0.3">
      <c r="A18" s="301" t="s">
        <v>245</v>
      </c>
      <c r="B18" s="302"/>
      <c r="C18" s="302"/>
      <c r="D18" s="302"/>
      <c r="E18" s="302"/>
      <c r="F18" s="302"/>
      <c r="G18" s="302"/>
      <c r="H18" s="303"/>
    </row>
    <row r="19" spans="1:15" x14ac:dyDescent="0.3">
      <c r="A19" s="301"/>
      <c r="B19" s="302"/>
      <c r="C19" s="302"/>
      <c r="D19" s="302"/>
      <c r="E19" s="302"/>
      <c r="F19" s="302"/>
      <c r="G19" s="302"/>
      <c r="H19" s="303"/>
    </row>
    <row r="20" spans="1:15" x14ac:dyDescent="0.3">
      <c r="A20" s="304" t="s">
        <v>143</v>
      </c>
      <c r="B20" s="302"/>
      <c r="C20" s="302"/>
      <c r="D20" s="302"/>
      <c r="E20" s="302"/>
      <c r="F20" s="302"/>
      <c r="G20" s="302"/>
      <c r="H20" s="303"/>
    </row>
    <row r="21" spans="1:15" ht="15" thickBot="1" x14ac:dyDescent="0.35">
      <c r="A21" s="305" t="s">
        <v>144</v>
      </c>
      <c r="B21" s="306"/>
      <c r="C21" s="306"/>
      <c r="D21" s="306"/>
      <c r="E21" s="306"/>
      <c r="F21" s="306"/>
      <c r="G21" s="306"/>
      <c r="H21" s="307"/>
    </row>
    <row r="23" spans="1:15" x14ac:dyDescent="0.3">
      <c r="A23" s="57" t="s">
        <v>169</v>
      </c>
    </row>
    <row r="24" spans="1:15" x14ac:dyDescent="0.3">
      <c r="A24" t="s">
        <v>160</v>
      </c>
      <c r="F24" s="8">
        <v>300</v>
      </c>
      <c r="G24" s="8"/>
      <c r="H24" t="s">
        <v>162</v>
      </c>
    </row>
    <row r="25" spans="1:15" x14ac:dyDescent="0.3">
      <c r="A25" t="s">
        <v>159</v>
      </c>
      <c r="F25" s="8">
        <v>500</v>
      </c>
      <c r="G25" s="8"/>
      <c r="H25" t="s">
        <v>161</v>
      </c>
    </row>
    <row r="26" spans="1:15" x14ac:dyDescent="0.3">
      <c r="A26" t="s">
        <v>151</v>
      </c>
      <c r="E26" s="8">
        <v>800</v>
      </c>
      <c r="F26" s="8">
        <v>1000</v>
      </c>
      <c r="G26" s="8"/>
      <c r="H26" t="s">
        <v>152</v>
      </c>
      <c r="O26" t="s">
        <v>156</v>
      </c>
    </row>
    <row r="27" spans="1:15" x14ac:dyDescent="0.3">
      <c r="A27" t="s">
        <v>164</v>
      </c>
      <c r="F27" s="8">
        <v>800</v>
      </c>
      <c r="G27" s="8"/>
      <c r="H27" t="s">
        <v>163</v>
      </c>
    </row>
    <row r="28" spans="1:15" x14ac:dyDescent="0.3">
      <c r="A28" t="s">
        <v>165</v>
      </c>
      <c r="F28" s="8">
        <v>500</v>
      </c>
      <c r="G28" s="8"/>
      <c r="H28" t="s">
        <v>166</v>
      </c>
    </row>
    <row r="29" spans="1:15" x14ac:dyDescent="0.3">
      <c r="A29" t="s">
        <v>150</v>
      </c>
      <c r="F29" s="8">
        <v>2000</v>
      </c>
      <c r="G29" s="8"/>
      <c r="H29" t="s">
        <v>149</v>
      </c>
      <c r="O29" t="s">
        <v>154</v>
      </c>
    </row>
    <row r="30" spans="1:15" x14ac:dyDescent="0.3">
      <c r="A30" t="s">
        <v>145</v>
      </c>
      <c r="E30" s="8">
        <v>1500</v>
      </c>
      <c r="F30" s="8">
        <v>2000</v>
      </c>
      <c r="G30" s="8"/>
      <c r="H30" t="s">
        <v>153</v>
      </c>
      <c r="O30" t="s">
        <v>147</v>
      </c>
    </row>
    <row r="31" spans="1:15" x14ac:dyDescent="0.3">
      <c r="A31" t="s">
        <v>146</v>
      </c>
      <c r="F31" s="8">
        <v>1000</v>
      </c>
      <c r="G31" s="8"/>
      <c r="H31" t="s">
        <v>148</v>
      </c>
      <c r="O31" t="s">
        <v>155</v>
      </c>
    </row>
    <row r="32" spans="1:15" x14ac:dyDescent="0.3">
      <c r="A32" t="s">
        <v>158</v>
      </c>
      <c r="E32" s="8">
        <v>1500</v>
      </c>
      <c r="F32" s="8">
        <v>2000</v>
      </c>
      <c r="G32" s="8"/>
    </row>
    <row r="33" spans="1:8" x14ac:dyDescent="0.3">
      <c r="A33" t="s">
        <v>168</v>
      </c>
      <c r="B33" s="8">
        <v>120</v>
      </c>
      <c r="C33" t="s">
        <v>167</v>
      </c>
      <c r="D33">
        <f>'5) Ergebnis DB ausführlich'!C39</f>
        <v>20</v>
      </c>
      <c r="E33" s="8" t="s">
        <v>114</v>
      </c>
      <c r="F33" s="20">
        <f>B33*D33</f>
        <v>2400</v>
      </c>
    </row>
    <row r="34" spans="1:8" x14ac:dyDescent="0.3">
      <c r="A34" t="s">
        <v>170</v>
      </c>
      <c r="F34" s="20">
        <v>2500</v>
      </c>
    </row>
    <row r="35" spans="1:8" x14ac:dyDescent="0.3">
      <c r="B35" s="8"/>
      <c r="D35" s="56"/>
      <c r="E35" s="8"/>
      <c r="F35" s="20"/>
    </row>
    <row r="36" spans="1:8" x14ac:dyDescent="0.3">
      <c r="D36" s="8"/>
      <c r="E36" s="8"/>
      <c r="F36" s="298">
        <f>SUM(F24:F34)</f>
        <v>15000</v>
      </c>
      <c r="G36" s="20">
        <f>F36/'5) Ergebnis DB ausführlich'!C39</f>
        <v>750</v>
      </c>
      <c r="H36" t="s">
        <v>167</v>
      </c>
    </row>
    <row r="37" spans="1:8" x14ac:dyDescent="0.3">
      <c r="D37" s="8"/>
      <c r="E37" s="8"/>
      <c r="F37" s="48"/>
    </row>
    <row r="39" spans="1:8" x14ac:dyDescent="0.3">
      <c r="A39" s="57" t="s">
        <v>291</v>
      </c>
      <c r="B39" s="57"/>
      <c r="C39" s="57"/>
      <c r="D39" s="479"/>
      <c r="E39" s="479"/>
    </row>
    <row r="40" spans="1:8" x14ac:dyDescent="0.3">
      <c r="D40" t="s">
        <v>157</v>
      </c>
    </row>
    <row r="41" spans="1:8" x14ac:dyDescent="0.3">
      <c r="A41" s="479" t="s">
        <v>287</v>
      </c>
      <c r="B41" s="480">
        <v>16.95</v>
      </c>
      <c r="C41" t="s">
        <v>292</v>
      </c>
      <c r="D41" s="479">
        <f>'2) Angaben DB'!B12</f>
        <v>4</v>
      </c>
      <c r="F41" s="480">
        <f>B41*D41</f>
        <v>67.8</v>
      </c>
    </row>
    <row r="42" spans="1:8" x14ac:dyDescent="0.3">
      <c r="A42" s="479" t="s">
        <v>288</v>
      </c>
      <c r="B42" s="480">
        <v>34.9</v>
      </c>
      <c r="C42" s="479" t="s">
        <v>292</v>
      </c>
      <c r="D42" s="479">
        <f>D41</f>
        <v>4</v>
      </c>
      <c r="F42" s="480">
        <f>B42*D42</f>
        <v>139.6</v>
      </c>
    </row>
    <row r="43" spans="1:8" x14ac:dyDescent="0.3">
      <c r="A43" s="479" t="s">
        <v>289</v>
      </c>
      <c r="B43" s="480">
        <v>0.72499999999999998</v>
      </c>
      <c r="C43" s="479" t="s">
        <v>292</v>
      </c>
      <c r="D43" s="479">
        <f>D41</f>
        <v>4</v>
      </c>
      <c r="F43" s="480">
        <f>B43*D43</f>
        <v>2.9</v>
      </c>
    </row>
    <row r="44" spans="1:8" x14ac:dyDescent="0.3">
      <c r="A44" s="479" t="s">
        <v>290</v>
      </c>
      <c r="B44" s="480">
        <v>18.41</v>
      </c>
      <c r="C44" s="479" t="s">
        <v>292</v>
      </c>
      <c r="D44" s="479">
        <f>D41</f>
        <v>4</v>
      </c>
      <c r="F44" s="480">
        <f>B44*D44</f>
        <v>73.64</v>
      </c>
    </row>
    <row r="45" spans="1:8" s="479" customFormat="1" x14ac:dyDescent="0.3">
      <c r="B45" s="480"/>
      <c r="F45" s="480"/>
    </row>
    <row r="46" spans="1:8" x14ac:dyDescent="0.3">
      <c r="B46" s="480">
        <v>70.984999999999999</v>
      </c>
      <c r="C46" s="479" t="s">
        <v>292</v>
      </c>
      <c r="D46" s="479">
        <f>D41</f>
        <v>4</v>
      </c>
      <c r="F46" s="298">
        <f>B46*D46</f>
        <v>283.94</v>
      </c>
      <c r="G46" s="20"/>
    </row>
    <row r="48" spans="1:8" x14ac:dyDescent="0.3">
      <c r="A48" s="285" t="s">
        <v>241</v>
      </c>
      <c r="B48" s="297"/>
      <c r="C48" s="297"/>
      <c r="D48" s="297"/>
      <c r="E48" s="297"/>
      <c r="F48" s="478">
        <f>F46+F36</f>
        <v>15283.94</v>
      </c>
    </row>
    <row r="52" spans="1:1" x14ac:dyDescent="0.3">
      <c r="A52" s="78" t="s">
        <v>281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1</vt:i4>
      </vt:variant>
    </vt:vector>
  </HeadingPairs>
  <TitlesOfParts>
    <vt:vector size="9" baseType="lpstr">
      <vt:lpstr>Information</vt:lpstr>
      <vt:lpstr>1) Wareneinsatz</vt:lpstr>
      <vt:lpstr>Preiskalkulation</vt:lpstr>
      <vt:lpstr>2) Angaben DB</vt:lpstr>
      <vt:lpstr>3) Ergebnis DB kurz</vt:lpstr>
      <vt:lpstr>4) DB Grafik</vt:lpstr>
      <vt:lpstr>5) Ergebnis DB ausführlich</vt:lpstr>
      <vt:lpstr>Datengrundlage Investition</vt:lpstr>
      <vt:lpstr>'4) DB Grafik'!Druckbereich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Saller, Julia (LfL)</dc:creator>
  <cp:lastModifiedBy>Saller, Julia (LfL)</cp:lastModifiedBy>
  <cp:lastPrinted>2021-12-16T06:32:59Z</cp:lastPrinted>
  <dcterms:created xsi:type="dcterms:W3CDTF">2021-01-22T13:05:41Z</dcterms:created>
  <dcterms:modified xsi:type="dcterms:W3CDTF">2024-07-11T13:16:35Z</dcterms:modified>
</cp:coreProperties>
</file>