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drawings/drawing3.xml" ContentType="application/vnd.openxmlformats-officedocument.drawing+xml"/>
  <Override PartName="/xl/ctrlProps/ctrlProp186.xml" ContentType="application/vnd.ms-excel.controlproperties+xml"/>
  <Override PartName="/xl/drawings/drawing4.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trlProps/ctrlProp19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66925"/>
  <mc:AlternateContent xmlns:mc="http://schemas.openxmlformats.org/markup-compatibility/2006">
    <mc:Choice Requires="x15">
      <x15ac:absPath xmlns:x15ac="http://schemas.microsoft.com/office/spreadsheetml/2010/11/ac" url="\\stmlf.bayern.de\Ressort\LfL\OrgEinheiten\IBA\AB2\AB 2 Ruhstorf\AB 2c_Tourismus\Frühstück\"/>
    </mc:Choice>
  </mc:AlternateContent>
  <xr:revisionPtr revIDLastSave="0" documentId="13_ncr:1_{0A5BEE8E-9B82-44D8-B0A4-3E9B73B3E3B5}" xr6:coauthVersionLast="47" xr6:coauthVersionMax="47" xr10:uidLastSave="{00000000-0000-0000-0000-000000000000}"/>
  <bookViews>
    <workbookView xWindow="-28920" yWindow="-5640" windowWidth="29040" windowHeight="17640" activeTab="6" xr2:uid="{00000000-000D-0000-FFFF-FFFF00000000}"/>
  </bookViews>
  <sheets>
    <sheet name="Information" sheetId="8" r:id="rId1"/>
    <sheet name="1) Wareneinsatz" sheetId="1" r:id="rId2"/>
    <sheet name="Preiskalkulation" sheetId="2" state="hidden" r:id="rId3"/>
    <sheet name="2) Angaben DB" sheetId="5" r:id="rId4"/>
    <sheet name="3) Ergebnis DB kurz" sheetId="6" r:id="rId5"/>
    <sheet name="4) DB Grafik" sheetId="7" state="hidden" r:id="rId6"/>
    <sheet name="5) Ergebnis DB ausführlich" sheetId="3" r:id="rId7"/>
    <sheet name="Datengrundlage Investition" sheetId="4" state="hidden" r:id="rId8"/>
  </sheets>
  <definedNames>
    <definedName name="_xlnm.Print_Area" localSheetId="5">'4) DB Grafik'!$A$1:$F$66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51" i="1" l="1"/>
  <c r="Q51" i="1"/>
  <c r="X50" i="1"/>
  <c r="Q50" i="1"/>
  <c r="X49" i="1"/>
  <c r="Q49" i="1"/>
  <c r="X47" i="1"/>
  <c r="X46" i="1"/>
  <c r="Q46" i="1"/>
  <c r="Q47" i="1"/>
  <c r="X37" i="1"/>
  <c r="Q37" i="1"/>
  <c r="X36" i="1"/>
  <c r="Q36" i="1"/>
  <c r="X35" i="1"/>
  <c r="Q35" i="1"/>
  <c r="X33" i="1"/>
  <c r="Q33" i="1"/>
  <c r="X32" i="1"/>
  <c r="Q32" i="1"/>
  <c r="X31" i="1"/>
  <c r="Q31" i="1"/>
  <c r="X30" i="1"/>
  <c r="Q30" i="1"/>
  <c r="X29" i="1"/>
  <c r="Q29" i="1"/>
  <c r="X28" i="1"/>
  <c r="Q28" i="1"/>
  <c r="X27" i="1"/>
  <c r="Q27" i="1"/>
  <c r="X26" i="1"/>
  <c r="Q26" i="1"/>
  <c r="X25" i="1"/>
  <c r="Q25" i="1"/>
  <c r="X24" i="1"/>
  <c r="Q24" i="1"/>
  <c r="X23" i="1"/>
  <c r="Q23" i="1"/>
  <c r="X22" i="1"/>
  <c r="Q22" i="1"/>
  <c r="X21" i="1"/>
  <c r="Q21" i="1"/>
  <c r="X19" i="1"/>
  <c r="Q19" i="1"/>
  <c r="X18" i="1"/>
  <c r="Q18" i="1"/>
  <c r="X16" i="1"/>
  <c r="Q16" i="1"/>
  <c r="X15" i="1"/>
  <c r="Q15" i="1"/>
  <c r="X14" i="1"/>
  <c r="Q14" i="1"/>
  <c r="X13" i="1"/>
  <c r="Q13" i="1"/>
  <c r="X12" i="1"/>
  <c r="Q12" i="1"/>
  <c r="X11" i="1"/>
  <c r="W11" i="1"/>
  <c r="Q11" i="1"/>
  <c r="X9" i="1"/>
  <c r="Q9" i="1"/>
  <c r="Q6" i="1"/>
  <c r="W5" i="1"/>
  <c r="P5" i="1"/>
  <c r="X4" i="1"/>
  <c r="Q4" i="1"/>
  <c r="W51" i="1"/>
  <c r="P51" i="1"/>
  <c r="R51" i="1" s="1"/>
  <c r="P50" i="1"/>
  <c r="W50" i="1"/>
  <c r="W49" i="1"/>
  <c r="P49" i="1"/>
  <c r="W47" i="1"/>
  <c r="P47" i="1"/>
  <c r="W46" i="1"/>
  <c r="P46" i="1"/>
  <c r="W37" i="1"/>
  <c r="P37" i="1"/>
  <c r="P36" i="1"/>
  <c r="W36" i="1"/>
  <c r="W35" i="1"/>
  <c r="P35" i="1"/>
  <c r="W33" i="1"/>
  <c r="P33" i="1"/>
  <c r="W32" i="1"/>
  <c r="P32" i="1"/>
  <c r="W31" i="1"/>
  <c r="P31" i="1"/>
  <c r="W30" i="1"/>
  <c r="P30" i="1"/>
  <c r="W29" i="1"/>
  <c r="P29" i="1"/>
  <c r="W28" i="1"/>
  <c r="P28" i="1"/>
  <c r="W27" i="1"/>
  <c r="P27" i="1"/>
  <c r="W26" i="1"/>
  <c r="P26" i="1"/>
  <c r="W25" i="1"/>
  <c r="P25" i="1"/>
  <c r="W24" i="1"/>
  <c r="P24" i="1"/>
  <c r="W23" i="1"/>
  <c r="P23" i="1"/>
  <c r="W22" i="1"/>
  <c r="P22" i="1"/>
  <c r="W21" i="1"/>
  <c r="P21" i="1"/>
  <c r="W20" i="1"/>
  <c r="P20" i="1"/>
  <c r="W19" i="1"/>
  <c r="P19" i="1"/>
  <c r="W18" i="1"/>
  <c r="P18" i="1"/>
  <c r="W16" i="1"/>
  <c r="P16" i="1"/>
  <c r="W15" i="1"/>
  <c r="P15" i="1"/>
  <c r="W14" i="1"/>
  <c r="P14" i="1"/>
  <c r="W13" i="1"/>
  <c r="P13" i="1"/>
  <c r="W12" i="1"/>
  <c r="P12" i="1"/>
  <c r="P11" i="1"/>
  <c r="W9" i="1"/>
  <c r="P9" i="1"/>
  <c r="P6" i="1"/>
  <c r="P4" i="1"/>
  <c r="W4" i="1"/>
  <c r="S53" i="1"/>
  <c r="S54" i="1"/>
  <c r="S55" i="1"/>
  <c r="S56" i="1"/>
  <c r="R53" i="1"/>
  <c r="R54" i="1"/>
  <c r="R55" i="1"/>
  <c r="R56" i="1"/>
  <c r="E53" i="1"/>
  <c r="L53" i="1"/>
  <c r="L54" i="1"/>
  <c r="L55" i="1"/>
  <c r="L56" i="1"/>
  <c r="J53" i="1"/>
  <c r="J54" i="1"/>
  <c r="J55" i="1"/>
  <c r="J56" i="1"/>
  <c r="G53" i="1"/>
  <c r="G54" i="1"/>
  <c r="G55" i="1"/>
  <c r="G56" i="1"/>
  <c r="E54" i="1"/>
  <c r="E55" i="1"/>
  <c r="E56" i="1"/>
  <c r="C106" i="3"/>
  <c r="C111" i="3"/>
  <c r="X20" i="1"/>
  <c r="Q20" i="1"/>
  <c r="S20" i="1" l="1"/>
  <c r="R20" i="1"/>
  <c r="L20" i="1" l="1"/>
  <c r="J20" i="1"/>
  <c r="G20" i="1"/>
  <c r="E20" i="1"/>
  <c r="E23" i="1"/>
  <c r="X44" i="1" l="1"/>
  <c r="W44" i="1"/>
  <c r="X43" i="1"/>
  <c r="W43" i="1"/>
  <c r="X42" i="1"/>
  <c r="W42" i="1"/>
  <c r="X41" i="1"/>
  <c r="W41" i="1"/>
  <c r="X40" i="1"/>
  <c r="W40" i="1"/>
  <c r="X38" i="1"/>
  <c r="W38" i="1"/>
  <c r="W8" i="1"/>
  <c r="X7" i="1"/>
  <c r="W7" i="1"/>
  <c r="X6" i="1"/>
  <c r="W6" i="1"/>
  <c r="X5" i="1"/>
  <c r="X8" i="1" s="1"/>
  <c r="B5" i="3" l="1"/>
  <c r="J23" i="1" l="1"/>
  <c r="E22" i="1"/>
  <c r="I1" i="1" l="1"/>
  <c r="D1" i="1"/>
  <c r="D26" i="5" l="1"/>
  <c r="D25" i="5"/>
  <c r="C12" i="5"/>
  <c r="E10" i="5"/>
  <c r="E11" i="5"/>
  <c r="E9" i="5"/>
  <c r="E12" i="5" l="1"/>
  <c r="D17" i="5" s="1"/>
  <c r="D20" i="5" s="1"/>
  <c r="M157" i="3" l="1"/>
  <c r="G17" i="6"/>
  <c r="Q42" i="1" l="1"/>
  <c r="P42" i="1"/>
  <c r="Q5" i="1" l="1"/>
  <c r="Q8" i="1" s="1"/>
  <c r="R42" i="1"/>
  <c r="R57" i="1"/>
  <c r="S42" i="1"/>
  <c r="S57" i="1"/>
  <c r="R22" i="1"/>
  <c r="R23" i="1"/>
  <c r="S21" i="1"/>
  <c r="S37" i="1"/>
  <c r="R37" i="1"/>
  <c r="Q43" i="1"/>
  <c r="S43" i="1" s="1"/>
  <c r="R10" i="1"/>
  <c r="S10" i="1"/>
  <c r="Q7" i="1"/>
  <c r="S11" i="1"/>
  <c r="S12" i="1"/>
  <c r="S13" i="1"/>
  <c r="S15" i="1"/>
  <c r="S16" i="1"/>
  <c r="S49" i="1"/>
  <c r="R49" i="1"/>
  <c r="S51" i="1"/>
  <c r="S50" i="1"/>
  <c r="Q44" i="1"/>
  <c r="S44" i="1" s="1"/>
  <c r="Q40" i="1"/>
  <c r="S40" i="1" s="1"/>
  <c r="Q41" i="1"/>
  <c r="S41" i="1" s="1"/>
  <c r="R47" i="1"/>
  <c r="R46" i="1"/>
  <c r="R50" i="1"/>
  <c r="P44" i="1"/>
  <c r="R44" i="1" s="1"/>
  <c r="P40" i="1"/>
  <c r="R40" i="1" s="1"/>
  <c r="P41" i="1"/>
  <c r="R41" i="1" s="1"/>
  <c r="P43" i="1"/>
  <c r="R43" i="1" s="1"/>
  <c r="Q38" i="1"/>
  <c r="S38" i="1" s="1"/>
  <c r="P38" i="1"/>
  <c r="R38" i="1" s="1"/>
  <c r="R24" i="1"/>
  <c r="R27" i="1"/>
  <c r="S28" i="1"/>
  <c r="R28" i="1"/>
  <c r="S29" i="1"/>
  <c r="R29" i="1"/>
  <c r="S30" i="1"/>
  <c r="R30" i="1"/>
  <c r="R31" i="1"/>
  <c r="S33" i="1"/>
  <c r="R33" i="1"/>
  <c r="R26" i="1" l="1"/>
  <c r="R25" i="1"/>
  <c r="R21" i="1"/>
  <c r="R16" i="1"/>
  <c r="R15" i="1"/>
  <c r="R14" i="1"/>
  <c r="R13" i="1"/>
  <c r="R12" i="1"/>
  <c r="R11" i="1"/>
  <c r="P8" i="1"/>
  <c r="S4" i="1"/>
  <c r="H112" i="3" l="1"/>
  <c r="G112" i="3"/>
  <c r="C110" i="3"/>
  <c r="C123" i="3" l="1"/>
  <c r="C82" i="3"/>
  <c r="C45" i="3"/>
  <c r="C44" i="3"/>
  <c r="D24" i="3"/>
  <c r="C21" i="3"/>
  <c r="E13" i="3"/>
  <c r="E14" i="3"/>
  <c r="E12" i="3"/>
  <c r="D13" i="3"/>
  <c r="D14" i="3"/>
  <c r="D12" i="3"/>
  <c r="C14" i="3"/>
  <c r="C13" i="3"/>
  <c r="C12" i="3"/>
  <c r="A3" i="5"/>
  <c r="C21" i="5"/>
  <c r="B12" i="5"/>
  <c r="D13" i="5" s="1"/>
  <c r="A4" i="5"/>
  <c r="D21" i="5" l="1"/>
  <c r="E20" i="5"/>
  <c r="C13" i="5"/>
  <c r="G107" i="3"/>
  <c r="H106" i="3"/>
  <c r="H105" i="3"/>
  <c r="C105" i="3"/>
  <c r="D46" i="4"/>
  <c r="F46" i="4" s="1"/>
  <c r="F73" i="4" s="1"/>
  <c r="D33" i="4"/>
  <c r="F33" i="4" s="1"/>
  <c r="F36" i="4" s="1"/>
  <c r="F45" i="4"/>
  <c r="F44" i="4"/>
  <c r="F43" i="4"/>
  <c r="F42" i="4"/>
  <c r="H107" i="3" l="1"/>
  <c r="F76" i="4"/>
  <c r="G36" i="4"/>
  <c r="F49" i="4"/>
  <c r="F50" i="4"/>
  <c r="F51" i="4"/>
  <c r="F52" i="4"/>
  <c r="F53" i="4"/>
  <c r="F54" i="4"/>
  <c r="F55" i="4"/>
  <c r="F56" i="4"/>
  <c r="F57" i="4"/>
  <c r="F58" i="4"/>
  <c r="F59" i="4"/>
  <c r="F60" i="4"/>
  <c r="F63" i="4"/>
  <c r="F64" i="4"/>
  <c r="F65" i="4"/>
  <c r="F66" i="4"/>
  <c r="F69" i="4"/>
  <c r="F70" i="4"/>
  <c r="F48" i="4"/>
  <c r="C74" i="3" l="1"/>
  <c r="C73" i="3"/>
  <c r="C50" i="3"/>
  <c r="C49" i="3"/>
  <c r="F14" i="3" l="1"/>
  <c r="F13" i="3"/>
  <c r="F12" i="3"/>
  <c r="C24" i="2"/>
  <c r="B24" i="2"/>
  <c r="B144" i="3" l="1"/>
  <c r="B143" i="3"/>
  <c r="B142" i="3"/>
  <c r="D32" i="3" l="1"/>
  <c r="B8" i="3" l="1"/>
  <c r="B7" i="3"/>
  <c r="D25" i="3"/>
  <c r="C24" i="3" l="1"/>
  <c r="C25" i="3"/>
  <c r="D33" i="3"/>
  <c r="E105" i="3"/>
  <c r="F105" i="3" s="1"/>
  <c r="J105" i="3" s="1"/>
  <c r="E110" i="3"/>
  <c r="F110" i="3" s="1"/>
  <c r="E111" i="3"/>
  <c r="F111" i="3" s="1"/>
  <c r="J111" i="3" s="1"/>
  <c r="J132" i="3"/>
  <c r="J133" i="3"/>
  <c r="J129" i="3"/>
  <c r="J134" i="3"/>
  <c r="J131" i="3"/>
  <c r="D90" i="3"/>
  <c r="C51" i="3"/>
  <c r="C52" i="3" s="1"/>
  <c r="B51" i="3"/>
  <c r="B52" i="3" s="1"/>
  <c r="D45" i="3"/>
  <c r="E45" i="3" s="1"/>
  <c r="D44" i="3"/>
  <c r="E44" i="3" s="1"/>
  <c r="C40" i="3"/>
  <c r="C15" i="3"/>
  <c r="J130" i="3" s="1"/>
  <c r="J9" i="1"/>
  <c r="G9" i="1"/>
  <c r="E9" i="1"/>
  <c r="L51" i="1"/>
  <c r="L41" i="1"/>
  <c r="L42" i="1"/>
  <c r="L43" i="1"/>
  <c r="L44" i="1"/>
  <c r="L46" i="1"/>
  <c r="L47" i="1"/>
  <c r="L49" i="1"/>
  <c r="L50" i="1"/>
  <c r="L40" i="1"/>
  <c r="L22" i="1"/>
  <c r="L19" i="1"/>
  <c r="L21" i="1"/>
  <c r="L18" i="1"/>
  <c r="L5" i="1"/>
  <c r="L6" i="1"/>
  <c r="L7" i="1"/>
  <c r="L8" i="1"/>
  <c r="L11" i="1"/>
  <c r="L12" i="1"/>
  <c r="L13" i="1"/>
  <c r="L14" i="1"/>
  <c r="L15" i="1"/>
  <c r="L16" i="1"/>
  <c r="L23" i="1"/>
  <c r="L24" i="1"/>
  <c r="L25" i="1"/>
  <c r="L26" i="1"/>
  <c r="L27" i="1"/>
  <c r="L28" i="1"/>
  <c r="L29" i="1"/>
  <c r="L30" i="1"/>
  <c r="L31" i="1"/>
  <c r="L32" i="1"/>
  <c r="L33" i="1"/>
  <c r="L35" i="1"/>
  <c r="L36" i="1"/>
  <c r="L37" i="1"/>
  <c r="L38" i="1"/>
  <c r="L4" i="1"/>
  <c r="G4" i="1"/>
  <c r="J41" i="1"/>
  <c r="J42" i="1"/>
  <c r="J43" i="1"/>
  <c r="J44" i="1"/>
  <c r="J46" i="1"/>
  <c r="J47" i="1"/>
  <c r="J49" i="1"/>
  <c r="J50" i="1"/>
  <c r="J51" i="1"/>
  <c r="J40" i="1"/>
  <c r="J24" i="1"/>
  <c r="J25" i="1"/>
  <c r="J26" i="1"/>
  <c r="J27" i="1"/>
  <c r="J28" i="1"/>
  <c r="J29" i="1"/>
  <c r="J30" i="1"/>
  <c r="J31" i="1"/>
  <c r="J32" i="1"/>
  <c r="J33" i="1"/>
  <c r="J35" i="1"/>
  <c r="J36" i="1"/>
  <c r="J37" i="1"/>
  <c r="J38" i="1"/>
  <c r="J22" i="1"/>
  <c r="J19" i="1"/>
  <c r="J21" i="1"/>
  <c r="J18" i="1"/>
  <c r="J5" i="1"/>
  <c r="J6" i="1"/>
  <c r="J7" i="1"/>
  <c r="J8" i="1"/>
  <c r="J11" i="1"/>
  <c r="J12" i="1"/>
  <c r="J13" i="1"/>
  <c r="J14" i="1"/>
  <c r="J15" i="1"/>
  <c r="J16" i="1"/>
  <c r="J4" i="1"/>
  <c r="G46" i="1"/>
  <c r="G47" i="1"/>
  <c r="G49" i="1"/>
  <c r="G50" i="1"/>
  <c r="G51" i="1"/>
  <c r="G41" i="1"/>
  <c r="G42" i="1"/>
  <c r="G43" i="1"/>
  <c r="G44" i="1"/>
  <c r="G40" i="1"/>
  <c r="G19" i="1"/>
  <c r="G21" i="1"/>
  <c r="G18" i="1"/>
  <c r="G5" i="1"/>
  <c r="G6" i="1"/>
  <c r="G7" i="1"/>
  <c r="G8" i="1"/>
  <c r="G11" i="1"/>
  <c r="G12" i="1"/>
  <c r="G13" i="1"/>
  <c r="G14" i="1"/>
  <c r="G15" i="1"/>
  <c r="G16" i="1"/>
  <c r="G22" i="1"/>
  <c r="G23" i="1"/>
  <c r="G24" i="1"/>
  <c r="G25" i="1"/>
  <c r="G26" i="1"/>
  <c r="G27" i="1"/>
  <c r="G28" i="1"/>
  <c r="G29" i="1"/>
  <c r="G30" i="1"/>
  <c r="G31" i="1"/>
  <c r="G32" i="1"/>
  <c r="G33" i="1"/>
  <c r="G35" i="1"/>
  <c r="G36" i="1"/>
  <c r="G37" i="1"/>
  <c r="G38" i="1"/>
  <c r="E4" i="1"/>
  <c r="E49" i="1"/>
  <c r="E50" i="1"/>
  <c r="E51" i="1"/>
  <c r="E46" i="1"/>
  <c r="E47" i="1"/>
  <c r="E41" i="1"/>
  <c r="E42" i="1"/>
  <c r="E43" i="1"/>
  <c r="E44" i="1"/>
  <c r="E40" i="1"/>
  <c r="E24" i="1"/>
  <c r="E25" i="1"/>
  <c r="E26" i="1"/>
  <c r="E27" i="1"/>
  <c r="E28" i="1"/>
  <c r="E29" i="1"/>
  <c r="E30" i="1"/>
  <c r="E31" i="1"/>
  <c r="E32" i="1"/>
  <c r="E33" i="1"/>
  <c r="E35" i="1"/>
  <c r="E36" i="1"/>
  <c r="E37" i="1"/>
  <c r="E38" i="1"/>
  <c r="E19" i="1"/>
  <c r="E21" i="1"/>
  <c r="E18" i="1"/>
  <c r="E5" i="1"/>
  <c r="E6" i="1"/>
  <c r="E7" i="1"/>
  <c r="E8" i="1"/>
  <c r="E11" i="1"/>
  <c r="E12" i="1"/>
  <c r="E13" i="1"/>
  <c r="E14" i="1"/>
  <c r="E15" i="1"/>
  <c r="E16" i="1"/>
  <c r="G58" i="1" l="1"/>
  <c r="F24" i="3"/>
  <c r="J110" i="3"/>
  <c r="J112" i="3" s="1"/>
  <c r="F112" i="3"/>
  <c r="J137" i="3"/>
  <c r="J138" i="3" s="1"/>
  <c r="E46" i="3"/>
  <c r="H46" i="3" s="1"/>
  <c r="E16" i="3"/>
  <c r="D106" i="3" s="1"/>
  <c r="D16" i="3"/>
  <c r="F15" i="3"/>
  <c r="R5" i="1"/>
  <c r="P7" i="1"/>
  <c r="R7" i="1" s="1"/>
  <c r="S32" i="1"/>
  <c r="R32" i="1"/>
  <c r="E90" i="3" l="1"/>
  <c r="H90" i="3" s="1"/>
  <c r="C76" i="3"/>
  <c r="C75" i="3"/>
  <c r="D21" i="3"/>
  <c r="D10" i="6"/>
  <c r="G10" i="6" s="1"/>
  <c r="M138" i="3"/>
  <c r="C64" i="3"/>
  <c r="D64" i="3" s="1"/>
  <c r="C62" i="3"/>
  <c r="D62" i="3" s="1"/>
  <c r="C65" i="3"/>
  <c r="D65" i="3" s="1"/>
  <c r="C61" i="3"/>
  <c r="D61" i="3" s="1"/>
  <c r="J144" i="3"/>
  <c r="F39" i="4"/>
  <c r="G73" i="4" s="1"/>
  <c r="B53" i="3"/>
  <c r="B54" i="3"/>
  <c r="C54" i="3"/>
  <c r="C53" i="3"/>
  <c r="E41" i="3"/>
  <c r="E27" i="3"/>
  <c r="R4" i="1"/>
  <c r="S14" i="1"/>
  <c r="S5" i="1"/>
  <c r="S6" i="1"/>
  <c r="S7" i="1"/>
  <c r="S9" i="1"/>
  <c r="S18" i="1"/>
  <c r="S19" i="1"/>
  <c r="S22" i="1"/>
  <c r="S23" i="1"/>
  <c r="S24" i="1"/>
  <c r="S25" i="1"/>
  <c r="S26" i="1"/>
  <c r="S27" i="1"/>
  <c r="S31" i="1"/>
  <c r="S35" i="1"/>
  <c r="S36" i="1"/>
  <c r="S46" i="1"/>
  <c r="S47" i="1"/>
  <c r="R6" i="1"/>
  <c r="R9" i="1"/>
  <c r="R18" i="1"/>
  <c r="R19" i="1"/>
  <c r="R35" i="1"/>
  <c r="R36" i="1"/>
  <c r="L9" i="1"/>
  <c r="L58" i="1" s="1"/>
  <c r="C77" i="3" l="1"/>
  <c r="C78" i="3" s="1"/>
  <c r="C80" i="3" s="1"/>
  <c r="D24" i="5" s="1"/>
  <c r="B24" i="5" s="1"/>
  <c r="B27" i="5" s="1"/>
  <c r="D27" i="5" s="1"/>
  <c r="C83" i="3"/>
  <c r="E85" i="3" s="1"/>
  <c r="C124" i="3"/>
  <c r="H41" i="3"/>
  <c r="E25" i="3"/>
  <c r="E24" i="3"/>
  <c r="H27" i="3"/>
  <c r="E106" i="3"/>
  <c r="F106" i="3" s="1"/>
  <c r="E66" i="3"/>
  <c r="C122" i="3"/>
  <c r="C153" i="3"/>
  <c r="D3" i="6"/>
  <c r="G3" i="6" s="1"/>
  <c r="R8" i="1"/>
  <c r="S8" i="1"/>
  <c r="T8" i="1"/>
  <c r="J126" i="3" l="1"/>
  <c r="J143" i="3" s="1"/>
  <c r="C154" i="3"/>
  <c r="J155" i="3" s="1"/>
  <c r="H66" i="3"/>
  <c r="H85" i="3"/>
  <c r="J106" i="3"/>
  <c r="J107" i="3" s="1"/>
  <c r="J114" i="3" s="1"/>
  <c r="F107" i="3"/>
  <c r="E54" i="3"/>
  <c r="E56" i="3" s="1"/>
  <c r="D9" i="6" l="1"/>
  <c r="G9" i="6" s="1"/>
  <c r="M126" i="3"/>
  <c r="E57" i="3"/>
  <c r="J150" i="3"/>
  <c r="J117" i="3"/>
  <c r="D16" i="6"/>
  <c r="G16" i="6" s="1"/>
  <c r="M155" i="3"/>
  <c r="H54" i="3"/>
  <c r="J116" i="3"/>
  <c r="J119" i="3" l="1"/>
  <c r="J142" i="3" s="1"/>
  <c r="H56" i="3"/>
  <c r="D8" i="6"/>
  <c r="G8" i="6" s="1"/>
  <c r="M119" i="3" l="1"/>
  <c r="D15" i="6"/>
  <c r="G15" i="6" s="1"/>
  <c r="M150" i="3"/>
  <c r="C33" i="3" l="1"/>
  <c r="C11" i="2"/>
  <c r="C15" i="2" s="1"/>
  <c r="C19" i="2" s="1"/>
  <c r="C23" i="2" s="1"/>
  <c r="C25" i="2" l="1"/>
  <c r="C27" i="2" s="1"/>
  <c r="E11" i="2"/>
  <c r="E15" i="2" s="1"/>
  <c r="E19" i="2" s="1"/>
  <c r="E23" i="2" s="1"/>
  <c r="E25" i="2" s="1"/>
  <c r="E27" i="2" s="1"/>
  <c r="E28" i="2" s="1"/>
  <c r="C32" i="3"/>
  <c r="E35" i="3" s="1"/>
  <c r="L1" i="1"/>
  <c r="G1" i="1"/>
  <c r="C28" i="2" l="1"/>
  <c r="D4" i="6"/>
  <c r="G4" i="6" s="1"/>
  <c r="H35" i="3"/>
  <c r="E92" i="3"/>
  <c r="H92" i="3" s="1"/>
  <c r="E94" i="3"/>
  <c r="J101" i="3" l="1"/>
  <c r="J141" i="3"/>
  <c r="J145" i="3" s="1"/>
  <c r="E169" i="3"/>
  <c r="E168" i="3"/>
  <c r="E167" i="3"/>
  <c r="D6" i="6"/>
  <c r="D12" i="6" s="1"/>
  <c r="D19" i="6" s="1"/>
  <c r="H94" i="3"/>
  <c r="M101" i="3" s="1"/>
  <c r="G27" i="6"/>
  <c r="G6" i="6"/>
  <c r="G12" i="6" s="1"/>
  <c r="G19" i="6" s="1"/>
  <c r="G28" i="6"/>
  <c r="G26" i="6"/>
  <c r="M145" i="3" l="1"/>
  <c r="J160" i="3"/>
  <c r="J163" i="3" l="1"/>
  <c r="M160" i="3"/>
  <c r="M163" i="3" l="1"/>
  <c r="D22" i="6"/>
  <c r="G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Saller, Julia (LfL)</author>
  </authors>
  <commentList>
    <comment ref="B18" authorId="0" shapeId="0" xr:uid="{C82B1454-BF99-4543-8C36-303E25A52DD2}">
      <text>
        <r>
          <rPr>
            <b/>
            <sz val="9"/>
            <color indexed="81"/>
            <rFont val="Tahoma"/>
            <family val="2"/>
          </rPr>
          <t>Saller, Julia (LfL):</t>
        </r>
        <r>
          <rPr>
            <sz val="9"/>
            <color indexed="81"/>
            <rFont val="Tahoma"/>
            <family val="2"/>
          </rPr>
          <t xml:space="preserve">
Siehe "Gebäude und bauliche Anlagen, Maschinen, Geräte, Sonstige Investitionsgüter"</t>
        </r>
      </text>
    </comment>
    <comment ref="B19" authorId="0" shapeId="0" xr:uid="{88C1D596-C238-4F30-95FF-84181A71F66B}">
      <text>
        <r>
          <rPr>
            <b/>
            <sz val="9"/>
            <color indexed="81"/>
            <rFont val="Tahoma"/>
            <family val="2"/>
          </rPr>
          <t>Saller, Julia (LfL):</t>
        </r>
        <r>
          <rPr>
            <sz val="9"/>
            <color indexed="81"/>
            <rFont val="Tahoma"/>
            <family val="2"/>
          </rPr>
          <t xml:space="preserve">
Siehe Modul "Personalkosten Arbeiten festangestellte AK" </t>
        </r>
      </text>
    </comment>
    <comment ref="B20" authorId="0" shapeId="0" xr:uid="{982A4266-FFE3-4DC6-BA97-BC89DA196E08}">
      <text>
        <r>
          <rPr>
            <b/>
            <sz val="9"/>
            <color indexed="81"/>
            <rFont val="Tahoma"/>
            <family val="2"/>
          </rPr>
          <t>Saller, Julia (LfL):</t>
        </r>
        <r>
          <rPr>
            <sz val="9"/>
            <color indexed="81"/>
            <rFont val="Tahoma"/>
            <family val="2"/>
          </rPr>
          <t xml:space="preserve">
Auf die Angabe eines Zinsansatzes für das Umlaufkapital wird in der Vorbelegung wegen Geringfügigkeit verzichtet. Sollten im Einzelfall höhere Ansätze auf das eingesetzte Kapital notwendig sein, sind diese hier einzugeben.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Saller, Julia (LfL)</author>
  </authors>
  <commentList>
    <comment ref="B84" authorId="0" shapeId="0" xr:uid="{60EC321A-2EA9-49CB-A0A5-AC2E1FA9E2D1}">
      <text>
        <r>
          <rPr>
            <b/>
            <sz val="9"/>
            <color indexed="81"/>
            <rFont val="Tahoma"/>
            <family val="2"/>
          </rPr>
          <t>Saller, Julia (LfL):</t>
        </r>
        <r>
          <rPr>
            <sz val="9"/>
            <color indexed="81"/>
            <rFont val="Tahoma"/>
            <family val="2"/>
          </rPr>
          <t xml:space="preserve">
Bruttlohn plus ggf. weitere Arbeitgeberkosten (z.B. Sozialverischerung)</t>
        </r>
      </text>
    </comment>
    <comment ref="E117" authorId="0" shapeId="0" xr:uid="{A450385A-D6D8-4AD0-B2CB-F66CB303E878}">
      <text>
        <r>
          <rPr>
            <b/>
            <sz val="9"/>
            <color indexed="81"/>
            <rFont val="Tahoma"/>
            <family val="2"/>
          </rPr>
          <t>Saller, Julia (LfL):</t>
        </r>
        <r>
          <rPr>
            <sz val="9"/>
            <color indexed="81"/>
            <rFont val="Tahoma"/>
            <family val="2"/>
          </rPr>
          <t xml:space="preserve">
, da über die Laufzeit betrachtet im Durchschnitt die Hälfte des Kapitals gebunden ist.</t>
        </r>
      </text>
    </comment>
    <comment ref="B125" authorId="0" shapeId="0" xr:uid="{40741298-3084-434D-9A98-14B53A15D67F}">
      <text>
        <r>
          <rPr>
            <b/>
            <sz val="9"/>
            <color indexed="81"/>
            <rFont val="Tahoma"/>
            <family val="2"/>
          </rPr>
          <t>Saller, Julia (LfL):</t>
        </r>
        <r>
          <rPr>
            <sz val="9"/>
            <color indexed="81"/>
            <rFont val="Tahoma"/>
            <family val="2"/>
          </rPr>
          <t xml:space="preserve">
Bruttlohn plus ggf. weitere Arbeitgeberkosten (z.B. Sozialverischerung)</t>
        </r>
      </text>
    </comment>
    <comment ref="B129" authorId="0" shapeId="0" xr:uid="{C22AC7B2-6E8E-4860-B62A-1AE25862AD88}">
      <text>
        <r>
          <rPr>
            <b/>
            <sz val="9"/>
            <color indexed="81"/>
            <rFont val="Tahoma"/>
            <family val="2"/>
          </rPr>
          <t>Saller, Julia (LfL):</t>
        </r>
        <r>
          <rPr>
            <sz val="9"/>
            <color indexed="81"/>
            <rFont val="Tahoma"/>
            <family val="2"/>
          </rPr>
          <t xml:space="preserve">
Quelle: LfL, Kennzahlenermittlung, hochgerechnet mit Preisindex auf 4/2019</t>
        </r>
      </text>
    </comment>
    <comment ref="B130" authorId="0" shapeId="0" xr:uid="{540FD105-1402-4369-B962-87493F2F7ED4}">
      <text>
        <r>
          <rPr>
            <b/>
            <sz val="9"/>
            <color indexed="81"/>
            <rFont val="Tahoma"/>
            <family val="2"/>
          </rPr>
          <t>Saller, Julia (LfL):</t>
        </r>
        <r>
          <rPr>
            <sz val="9"/>
            <color indexed="81"/>
            <rFont val="Tahoma"/>
            <family val="2"/>
          </rPr>
          <t xml:space="preserve">
GEZ-Fernseh- und Radiogebühren:
Erste Einheit ist frei, jede weitere Einheit 5,83 € je Monat, Aufenthaltsräume zählen mit (Stand 2019). 
</t>
        </r>
      </text>
    </comment>
    <comment ref="B131" authorId="0" shapeId="0" xr:uid="{963FDD71-599B-4FF5-BEB9-E6DAE2A45ABE}">
      <text>
        <r>
          <rPr>
            <b/>
            <sz val="9"/>
            <color indexed="81"/>
            <rFont val="Tahoma"/>
            <family val="2"/>
          </rPr>
          <t>Saller, Julia (LfL):</t>
        </r>
        <r>
          <rPr>
            <sz val="9"/>
            <color indexed="81"/>
            <rFont val="Tahoma"/>
            <family val="2"/>
          </rPr>
          <t xml:space="preserve">
In der Vorbelegung werden für Müll 152 € angesetzt.
Quelle: LfL, Kennzahlenermittlung, hochgerechnet mit Preisindex auf 4/2019 </t>
        </r>
      </text>
    </comment>
    <comment ref="B132" authorId="0" shapeId="0" xr:uid="{38201906-8677-4A47-B6BC-F2E9DF714CEC}">
      <text>
        <r>
          <rPr>
            <b/>
            <sz val="9"/>
            <color indexed="81"/>
            <rFont val="Tahoma"/>
            <family val="2"/>
          </rPr>
          <t>Saller, Julia (LfL):</t>
        </r>
        <r>
          <rPr>
            <sz val="9"/>
            <color indexed="81"/>
            <rFont val="Tahoma"/>
            <family val="2"/>
          </rPr>
          <t xml:space="preserve">
Klassifizierungskosten (unterschiedliche Kosten je nach durchführender Organisation und Anzahl der FWG) , Mitgliedschaften bei DLG, Landesarbeitsgemeinschaft für UadB in Bayern,  regionale Anbietergemeinschaften UadB, Tourismusverbände
Quelle: eigene Berechnungen, Stand 2019</t>
        </r>
      </text>
    </comment>
    <comment ref="B133" authorId="0" shapeId="0" xr:uid="{D2A7272F-5957-444A-BC1D-C5C6CFFA7E93}">
      <text>
        <r>
          <rPr>
            <b/>
            <sz val="9"/>
            <color indexed="81"/>
            <rFont val="Tahoma"/>
            <family val="2"/>
          </rPr>
          <t>Saller, Julia (LfL):</t>
        </r>
        <r>
          <rPr>
            <sz val="9"/>
            <color indexed="81"/>
            <rFont val="Tahoma"/>
            <family val="2"/>
          </rPr>
          <t xml:space="preserve">
Ausgaben für Kataloge, Flyer, Internetplattformen, Homepage u.s.w.
Die Ausgaben sind sehr unterschiedlich, durchschnittlich können 1500 bis 2500 € pro Jahr angesetzt werden.
Quelle: eigene Erhebungen, Stand 2019 </t>
        </r>
      </text>
    </comment>
    <comment ref="B134" authorId="0" shapeId="0" xr:uid="{463C62BC-D59B-48FA-8948-A96A79B1F567}">
      <text>
        <r>
          <rPr>
            <b/>
            <sz val="9"/>
            <color indexed="81"/>
            <rFont val="Tahoma"/>
            <family val="2"/>
          </rPr>
          <t>Saller, Julia (LfL):</t>
        </r>
        <r>
          <rPr>
            <sz val="9"/>
            <color indexed="81"/>
            <rFont val="Tahoma"/>
            <family val="2"/>
          </rPr>
          <t xml:space="preserve">
Ausgaben für Gebäude(brand)versicherung (Anteil Ferienbetrieb), Hausratversicherung (Anteil Ferienbetrieb), Haftpflichtversicherung für Feriengäste und sonstige Versicherungen (z.B. für Reiter). Kosten abhängig von Versicherungsträger, Gebäuden, Angebot und Anspruch des Betriebsleiters. 
In der Vorbelegung werden für Haftplicht 109 €, für Brandversicherung 230 € und für sonstige Versicherungen (Hausrat, Versicherung für Reiter, etc.) 147 € angesetzt. 
Quelle: LFL-Kennzahlenermittlung, hochgerechnet mit Preisindex auf 4/2019 </t>
        </r>
      </text>
    </comment>
    <comment ref="B135" authorId="0" shapeId="0" xr:uid="{E1D8849C-D9A4-4F72-8BB7-74E8BB7EEF72}">
      <text>
        <r>
          <rPr>
            <b/>
            <sz val="9"/>
            <color indexed="81"/>
            <rFont val="Tahoma"/>
            <family val="2"/>
          </rPr>
          <t>Saller, Julia (LfL):</t>
        </r>
        <r>
          <rPr>
            <sz val="9"/>
            <color indexed="81"/>
            <rFont val="Tahoma"/>
            <family val="2"/>
          </rPr>
          <t xml:space="preserve">
Zum Beispiel Grundsteuer oder Gewerbesteuer, jeweils anteilig auf das Produktionsverfahren bezogen.
Quelle: LfL-Kennzahlenermittlung, hochgerechnet mit Preisindex 4/2019
Umsatzsteuer ist hier nicht einzugeben, da diese entweder nur einen durchlaufenden Posten darstellt (Regelbesteuerung) oder nicht zu berücksichtigen ist (Kleinunternehmerregelung).</t>
        </r>
      </text>
    </comment>
    <comment ref="B136" authorId="0" shapeId="0" xr:uid="{5492EEC8-2416-4C60-8BD1-18FB1403B142}">
      <text>
        <r>
          <rPr>
            <b/>
            <sz val="9"/>
            <color indexed="81"/>
            <rFont val="Tahoma"/>
            <family val="2"/>
          </rPr>
          <t>Saller, Julia (LfL):</t>
        </r>
        <r>
          <rPr>
            <sz val="9"/>
            <color indexed="81"/>
            <rFont val="Tahoma"/>
            <family val="2"/>
          </rPr>
          <t xml:space="preserve">
Zum Beispiel für Fortbildung, Fahrzeugkosten (Steuern, Versicherung), Mieten, Leasing, Pacht, Fremdenverkehrsabgabe (soweit nicht den Gästen verrechnet), Steuerberater, etc. </t>
        </r>
      </text>
    </comment>
    <comment ref="B150" authorId="0" shapeId="0" xr:uid="{D271B96B-5068-4120-ABF6-37821F4B712F}">
      <text>
        <r>
          <rPr>
            <b/>
            <sz val="9"/>
            <color indexed="81"/>
            <rFont val="Tahoma"/>
            <family val="2"/>
          </rPr>
          <t>Saller, Julia (LfL):</t>
        </r>
        <r>
          <rPr>
            <sz val="9"/>
            <color indexed="81"/>
            <rFont val="Tahoma"/>
            <family val="2"/>
          </rPr>
          <t xml:space="preserve">
Siehe "Gebäude und bauliche Anlagen, Maschinen, Geräte, Sonstige Investitionsgüter"</t>
        </r>
      </text>
    </comment>
    <comment ref="D150" authorId="0" shapeId="0" xr:uid="{742C7F24-E57D-47A5-8F0D-7A650BBD20A8}">
      <text>
        <r>
          <rPr>
            <b/>
            <sz val="9"/>
            <color indexed="81"/>
            <rFont val="Tahoma"/>
            <family val="2"/>
          </rPr>
          <t>Saller, Julia (LfL):</t>
        </r>
        <r>
          <rPr>
            <sz val="9"/>
            <color indexed="81"/>
            <rFont val="Tahoma"/>
            <family val="2"/>
          </rPr>
          <t xml:space="preserve">
, da über die Laufzeit betrachtet im Durchschnitt die Hälfte des Kapitals gebunden ist.</t>
        </r>
      </text>
    </comment>
    <comment ref="B152" authorId="0" shapeId="0" xr:uid="{5FA2A05A-ABEC-4CE5-8907-E35B8FA9B921}">
      <text>
        <r>
          <rPr>
            <b/>
            <sz val="9"/>
            <color indexed="81"/>
            <rFont val="Tahoma"/>
            <family val="2"/>
          </rPr>
          <t>Saller, Julia (LfL):</t>
        </r>
        <r>
          <rPr>
            <sz val="9"/>
            <color indexed="81"/>
            <rFont val="Tahoma"/>
            <family val="2"/>
          </rPr>
          <t xml:space="preserve">
Siehe Modul "Personalkosten Arbeiten festangestellte AK" </t>
        </r>
      </text>
    </comment>
    <comment ref="B157" authorId="0" shapeId="0" xr:uid="{3EF7A53E-5C56-4791-B69F-22B7C336DD08}">
      <text>
        <r>
          <rPr>
            <b/>
            <sz val="9"/>
            <color indexed="81"/>
            <rFont val="Tahoma"/>
            <family val="2"/>
          </rPr>
          <t>Saller, Julia (LfL):</t>
        </r>
        <r>
          <rPr>
            <sz val="9"/>
            <color indexed="81"/>
            <rFont val="Tahoma"/>
            <family val="2"/>
          </rPr>
          <t xml:space="preserve">
Auf die Angabe eines Zinsansatzes für das Umlaufkapital wird in der Vorbelegung wegen Geringfügigkeit verzichtet. Sollten im Einzelfall höhere Ansätze auf das eingesetzte Kapital notwendig sein, sind diese hier einzugeben.</t>
        </r>
      </text>
    </comment>
  </commentList>
</comments>
</file>

<file path=xl/sharedStrings.xml><?xml version="1.0" encoding="utf-8"?>
<sst xmlns="http://schemas.openxmlformats.org/spreadsheetml/2006/main" count="607" uniqueCount="346">
  <si>
    <t>Produkt</t>
  </si>
  <si>
    <t>konvent-ionell</t>
  </si>
  <si>
    <t>öko-logisch</t>
  </si>
  <si>
    <t>€/Einheit</t>
  </si>
  <si>
    <t>Menge pro Portion</t>
  </si>
  <si>
    <t xml:space="preserve">Kaffee </t>
  </si>
  <si>
    <t>€/kg</t>
  </si>
  <si>
    <t>g</t>
  </si>
  <si>
    <t xml:space="preserve">Milch für Kaffee </t>
  </si>
  <si>
    <t>€/l</t>
  </si>
  <si>
    <t>Zucker</t>
  </si>
  <si>
    <t>Tee</t>
  </si>
  <si>
    <t>B.</t>
  </si>
  <si>
    <t>Milch als Getränk</t>
  </si>
  <si>
    <t>Semmel</t>
  </si>
  <si>
    <t>€/Stk.</t>
  </si>
  <si>
    <t>Stk.</t>
  </si>
  <si>
    <t>Vollkornbrötchen</t>
  </si>
  <si>
    <t xml:space="preserve">Mischbrot </t>
  </si>
  <si>
    <t xml:space="preserve">Vollkornbrot </t>
  </si>
  <si>
    <t xml:space="preserve">Butter </t>
  </si>
  <si>
    <t xml:space="preserve">Honig </t>
  </si>
  <si>
    <t>Nuss-Schokocreme</t>
  </si>
  <si>
    <t>Schnittkäse</t>
  </si>
  <si>
    <t xml:space="preserve">Schinken </t>
  </si>
  <si>
    <t>Knuspermüsli</t>
  </si>
  <si>
    <t>Haferflocken</t>
  </si>
  <si>
    <t>Joghurt natur</t>
  </si>
  <si>
    <t>Porridge</t>
  </si>
  <si>
    <t>Frischkäse</t>
  </si>
  <si>
    <t>Rührei</t>
  </si>
  <si>
    <t>Bircher-Müsli</t>
  </si>
  <si>
    <t>Croissant</t>
  </si>
  <si>
    <t>Overnight-Oat</t>
  </si>
  <si>
    <t>Chia-Pudding mit Obst, Nüssen</t>
  </si>
  <si>
    <t>Sekt</t>
  </si>
  <si>
    <t>netto</t>
  </si>
  <si>
    <t>brutto</t>
  </si>
  <si>
    <t>Multivitaminsaft</t>
  </si>
  <si>
    <t>Orangensaft</t>
  </si>
  <si>
    <t>Apfelsaft</t>
  </si>
  <si>
    <t>Weichkäse</t>
  </si>
  <si>
    <t>Spiegelei</t>
  </si>
  <si>
    <t>Leinsamen</t>
  </si>
  <si>
    <t>Joghurt Frucht</t>
  </si>
  <si>
    <t>Apfel</t>
  </si>
  <si>
    <t>Banane</t>
  </si>
  <si>
    <t>Kakaogetränk (Kabapulver, Milch)</t>
  </si>
  <si>
    <t>MwSt. in %</t>
  </si>
  <si>
    <t>Erwachsene</t>
  </si>
  <si>
    <t>Kinder</t>
  </si>
  <si>
    <t>gekochtes Ei</t>
  </si>
  <si>
    <t>Selbstkosten</t>
  </si>
  <si>
    <t>kalkulierter Preis</t>
  </si>
  <si>
    <t>Wareneinsatz Frühstück Erwachsene</t>
  </si>
  <si>
    <t>Wareneinsatz Frühstück Kinder</t>
  </si>
  <si>
    <t>ml</t>
  </si>
  <si>
    <t>Milch für Müsli</t>
  </si>
  <si>
    <t>€/Port</t>
  </si>
  <si>
    <t>€/1000 B.</t>
  </si>
  <si>
    <t>Bruttorechner</t>
  </si>
  <si>
    <t>Wareneinsatz</t>
  </si>
  <si>
    <t>Frühstück Erwachsene</t>
  </si>
  <si>
    <t>Frühstück Kinder</t>
  </si>
  <si>
    <t>FWG Kategorie</t>
  </si>
  <si>
    <t>Anzahl FWG</t>
  </si>
  <si>
    <t>Belegtage je FWG u. Jahr</t>
  </si>
  <si>
    <t>durchschn. Belegung</t>
  </si>
  <si>
    <t>Anzahl Übernachtungen je Jahr</t>
  </si>
  <si>
    <t>Personen/FWG</t>
  </si>
  <si>
    <t>Summe</t>
  </si>
  <si>
    <t>Gesamterlös aus Frühstücksangebot</t>
  </si>
  <si>
    <t xml:space="preserve"> /Betrieb u. Jahr</t>
  </si>
  <si>
    <t xml:space="preserve"> -</t>
  </si>
  <si>
    <t xml:space="preserve"> =</t>
  </si>
  <si>
    <t>Heizkosten</t>
  </si>
  <si>
    <t>mittel (bis 4 Pers.)</t>
  </si>
  <si>
    <t>klein (bis 2 Pers.)</t>
  </si>
  <si>
    <t>gross (bis 6 Pers.)</t>
  </si>
  <si>
    <t>Anteil Gäste mit Verpflegung</t>
  </si>
  <si>
    <t>Anteil Erwachsene/Kinder</t>
  </si>
  <si>
    <t>MARKTLEISTUNG</t>
  </si>
  <si>
    <t>VARIABLE KOSTEN</t>
  </si>
  <si>
    <t>Kosten Wareneinsatz Frühstück</t>
  </si>
  <si>
    <t>€/Portion</t>
  </si>
  <si>
    <t>Wareneinsatz gesamt</t>
  </si>
  <si>
    <t>Reinigung</t>
  </si>
  <si>
    <t>Lohnkosten für Aushilfkräfte</t>
  </si>
  <si>
    <t>VOLLKOSTENRECHNUNG</t>
  </si>
  <si>
    <t>Instandhaltung</t>
  </si>
  <si>
    <t>Zinsaufwand</t>
  </si>
  <si>
    <t>Personalkosten Arbeiten festangestellte AK</t>
  </si>
  <si>
    <t>Fernseh-/Radiogebühren</t>
  </si>
  <si>
    <t>Sonstige Gebühren</t>
  </si>
  <si>
    <t>Versicherungen</t>
  </si>
  <si>
    <t>Steuern</t>
  </si>
  <si>
    <t>Gewinnbeitrag</t>
  </si>
  <si>
    <t>€/Betrieb u. Jahr</t>
  </si>
  <si>
    <t>der halben eigenfinanzierten Investitionssumme</t>
  </si>
  <si>
    <t xml:space="preserve"> / Betrieb u. Jahr</t>
  </si>
  <si>
    <t xml:space="preserve">Kalkulatorische Faktorkosten sind Ansätze für die Entlohnung der eigenen Produktionsfaktoren (Arbeit, Kapital). </t>
  </si>
  <si>
    <t>Zinsansatz eigenfinanzierte Investition</t>
  </si>
  <si>
    <t>Lohnansatz nicht entlohnte AK</t>
  </si>
  <si>
    <t>Zinsansatz Umlaufkapital</t>
  </si>
  <si>
    <t xml:space="preserve"> = Gewinnbeitrag - kalkulatorische Faktorkosten</t>
  </si>
  <si>
    <t xml:space="preserve"> = (Unternehmergewinn + Lohnansatz) / Zahl der nicht entlohnten Akh</t>
  </si>
  <si>
    <t xml:space="preserve"> / Akh</t>
  </si>
  <si>
    <t>Wasser</t>
  </si>
  <si>
    <t>Abwasser</t>
  </si>
  <si>
    <t>ALLGEMEINE ANGABEN</t>
  </si>
  <si>
    <t>Verkaufspreis brutto</t>
  </si>
  <si>
    <t>Zwischensumme</t>
  </si>
  <si>
    <t>auszuweisender Netto Verkaufspreis</t>
  </si>
  <si>
    <t xml:space="preserve"> +</t>
  </si>
  <si>
    <t>Gemeinkostenaufschlag</t>
  </si>
  <si>
    <t>Gewinnaufschlag</t>
  </si>
  <si>
    <t>Serviceaufschlag</t>
  </si>
  <si>
    <t>Strom</t>
  </si>
  <si>
    <t>€/kWh</t>
  </si>
  <si>
    <t>€/Belegtag</t>
  </si>
  <si>
    <t>kWh/Belegtag</t>
  </si>
  <si>
    <t>m²</t>
  </si>
  <si>
    <t>€/m²</t>
  </si>
  <si>
    <t>€/Jahr</t>
  </si>
  <si>
    <t>Speiseraum</t>
  </si>
  <si>
    <t>Küche</t>
  </si>
  <si>
    <t>Energie, Heizung, Wasser, Abwasser</t>
  </si>
  <si>
    <t>l/Vorgang</t>
  </si>
  <si>
    <t>Vorgänge/Belegtag</t>
  </si>
  <si>
    <t>€/m³</t>
  </si>
  <si>
    <t>l/Jahr</t>
  </si>
  <si>
    <t>für Spülen</t>
  </si>
  <si>
    <t>Arbeitsbereich</t>
  </si>
  <si>
    <t>entspricht</t>
  </si>
  <si>
    <t>Entlohnung</t>
  </si>
  <si>
    <t xml:space="preserve"> /Akh</t>
  </si>
  <si>
    <t>Quelle: KTBL Datensammlung Urlaub auf dem Lande (2006), LfL-Kennzahlenermittlung 2012, 2017</t>
  </si>
  <si>
    <t>Management anteilig</t>
  </si>
  <si>
    <t>Betreuuung der Gäste anteilig</t>
  </si>
  <si>
    <t>/Betrieb u. Jahr</t>
  </si>
  <si>
    <t>ergibt Akh pro Frühstück</t>
  </si>
  <si>
    <t>durchschnittl. Entfernung in km</t>
  </si>
  <si>
    <t>€/km</t>
  </si>
  <si>
    <t>Boden</t>
  </si>
  <si>
    <t xml:space="preserve"> - rutschfest</t>
  </si>
  <si>
    <t xml:space="preserve"> - leichtes Gefälle</t>
  </si>
  <si>
    <t xml:space="preserve"> - Ablaufrinnen/öffnungen</t>
  </si>
  <si>
    <t xml:space="preserve"> -&gt; + Zuluftanlage</t>
  </si>
  <si>
    <t>Schmutzwasserausguss</t>
  </si>
  <si>
    <t>Wandflächen</t>
  </si>
  <si>
    <t xml:space="preserve"> - leicht zu reinigen/desinfizieren</t>
  </si>
  <si>
    <t>http://www.onlinehilfe-lebensmittelhygiene.de/</t>
  </si>
  <si>
    <t>http://www.onlinehilfe-lebensmittelhygiene.de/gastronomie/</t>
  </si>
  <si>
    <t>Spülmaschine</t>
  </si>
  <si>
    <t>Kühlschrank</t>
  </si>
  <si>
    <t>Stühle und Tische</t>
  </si>
  <si>
    <t>circa 100 Euro pro Sitzplatz?</t>
  </si>
  <si>
    <t>Deko, restl. Einrichtung</t>
  </si>
  <si>
    <t>https://www.maran-pro.com/de/electrolux/spültechnik/untertischspülmaschinen/untertischspülmaschinen/</t>
  </si>
  <si>
    <t>https://www.maran-pro.com/de/electrolux/kühltechnik/kühl_und_tiefkühlschränke/400_l/</t>
  </si>
  <si>
    <t>https://www.gastprodo.com/elektroherde/</t>
  </si>
  <si>
    <t>Elektroherd mit Umluftofen</t>
  </si>
  <si>
    <t>Edelstahlarbeitsfläche mit Unterschrank</t>
  </si>
  <si>
    <t>https://www.gastprodo.com/edelstahl-arbeitsschraenke/</t>
  </si>
  <si>
    <t>https://www.gastprodo.com/geschirrspuelmaschinen/</t>
  </si>
  <si>
    <t>https://www.gastro-hero.de/Kochgeräte/Herde</t>
  </si>
  <si>
    <t>https://www.gastro-hero.de/Kühltechnik/Kühlschränke/Lagerkühlschränke</t>
  </si>
  <si>
    <t>https://www.gastro-hero.de/Edelstahlmöbel/Arbeitsschränke/Arbeitsschränke-mit-Schubladenblock</t>
  </si>
  <si>
    <t xml:space="preserve">Stühle  </t>
  </si>
  <si>
    <t>Tische</t>
  </si>
  <si>
    <t>Geschirr</t>
  </si>
  <si>
    <t>Teller klein</t>
  </si>
  <si>
    <t>Capuccinotassen</t>
  </si>
  <si>
    <t>Kaffeetassen</t>
  </si>
  <si>
    <t>Kaffeebecher</t>
  </si>
  <si>
    <t>Unterteller</t>
  </si>
  <si>
    <t>Müslischüssel</t>
  </si>
  <si>
    <t>Eierbecher</t>
  </si>
  <si>
    <t>Zuckerdose</t>
  </si>
  <si>
    <t>Salzstreuer</t>
  </si>
  <si>
    <t>Pfefferstreuer</t>
  </si>
  <si>
    <t>Milchkännchen</t>
  </si>
  <si>
    <t>Brotkörbchen</t>
  </si>
  <si>
    <t>Besteck</t>
  </si>
  <si>
    <t>Kaffeelöffel</t>
  </si>
  <si>
    <t>Messer</t>
  </si>
  <si>
    <t>Löffel</t>
  </si>
  <si>
    <t>Gabel</t>
  </si>
  <si>
    <t>Gläser</t>
  </si>
  <si>
    <t>36 cl</t>
  </si>
  <si>
    <t>51 cl</t>
  </si>
  <si>
    <t>Anzahl</t>
  </si>
  <si>
    <t>Tischdecken</t>
  </si>
  <si>
    <t>Kaffeemaschine</t>
  </si>
  <si>
    <t>Espressotassen</t>
  </si>
  <si>
    <t>Spülbecken</t>
  </si>
  <si>
    <t>Handwaschbecken</t>
  </si>
  <si>
    <t>https://www.gastro-hero.de/Edelstahlmöbel/Spültische</t>
  </si>
  <si>
    <t>https://www.gastro-hero.de/Spültechnik/Spülmöbel/Handwaschbecken</t>
  </si>
  <si>
    <t>https://www.gastroplus24.de/de/lueftung/abzugshauben/wandhauben/</t>
  </si>
  <si>
    <t>Abzug</t>
  </si>
  <si>
    <t>Lüftung</t>
  </si>
  <si>
    <t>https://www.gastroplus24.de/de/lueftung/lueftungsventilatoren/</t>
  </si>
  <si>
    <t>Anzahl -&gt; Annahme: Frühstücksraum mit 3 Tischen mit 12 Stühlen</t>
  </si>
  <si>
    <t>https://www.gastro-hero.de/Gastraum/</t>
  </si>
  <si>
    <t>pro m²</t>
  </si>
  <si>
    <t>Fliesen Boden</t>
  </si>
  <si>
    <t>Parkett Speiseraum</t>
  </si>
  <si>
    <t>KÜCHE</t>
  </si>
  <si>
    <t>SPEISERAUM</t>
  </si>
  <si>
    <t>Sonstiges</t>
  </si>
  <si>
    <t>Investitionskosten</t>
  </si>
  <si>
    <t>€/m² bzw. €/Sitzplatz</t>
  </si>
  <si>
    <t>pro Sitzplatz</t>
  </si>
  <si>
    <t>Sonstige Festkosten</t>
  </si>
  <si>
    <t>Deckungsbeitrag Frühstücksangebot</t>
  </si>
  <si>
    <t>anteilig auf das Frühstücksangebot</t>
  </si>
  <si>
    <t>DECKUNGSBEITRAG für das Frühstücksangebot</t>
  </si>
  <si>
    <t>Verkaufspreis €/Portion</t>
  </si>
  <si>
    <t>kostendeckender Preis pro Frühstück</t>
  </si>
  <si>
    <t>Finanzierung eigen %</t>
  </si>
  <si>
    <t>Finanzierung fremd %</t>
  </si>
  <si>
    <t>Abschreibung €/Betrieb u. Jahr</t>
  </si>
  <si>
    <t>Unternehmergewinn</t>
  </si>
  <si>
    <t>Arbeitsertrag je nicht entlohnter Akh</t>
  </si>
  <si>
    <t>Kalkulatorische Faktorkosten</t>
  </si>
  <si>
    <t>Klassifizierungskosten, Mitgliedschaften in Verbänden</t>
  </si>
  <si>
    <t>Werbungskosten</t>
  </si>
  <si>
    <t>Weitere feste Kosten</t>
  </si>
  <si>
    <t>Durchschnittserlös Verpflegung</t>
  </si>
  <si>
    <t>Durchschnittserlös aus Frühstücksangebot</t>
  </si>
  <si>
    <t>h/Woche</t>
  </si>
  <si>
    <t>des Gesamtarbeitsbedarfes</t>
  </si>
  <si>
    <t>ergibt Akh pro Betrieb und Jahr</t>
  </si>
  <si>
    <t>Kapitalkosten Investition</t>
  </si>
  <si>
    <t>Akh pro Betrieb und Jahr</t>
  </si>
  <si>
    <t xml:space="preserve">KALKULATORISCHE FAKTORKOSTEN  </t>
  </si>
  <si>
    <t>Erledigung der Arbeit durch Aushilfs-AK</t>
  </si>
  <si>
    <t>Reinigung Speiseraum</t>
  </si>
  <si>
    <t>Reinigung Küche</t>
  </si>
  <si>
    <t>Unterhaltsreinigung abhängig von der Anzahl der Belegtage</t>
  </si>
  <si>
    <t>Grundreinigung (Annahme: zweimal jährlich)</t>
  </si>
  <si>
    <t>Verpflegung inkl. Anrichten, Spülen</t>
  </si>
  <si>
    <t>€/Frühstück</t>
  </si>
  <si>
    <t xml:space="preserve">Neubau? </t>
  </si>
  <si>
    <t>Ausstattung</t>
  </si>
  <si>
    <t>Neubau</t>
  </si>
  <si>
    <t>Gesamtinvestitionskosten für Ausstattung von</t>
  </si>
  <si>
    <t>Gesamtinvestitionskosten für Neubau von</t>
  </si>
  <si>
    <t>Smoothie aus Heidelb., Banane, Apfel</t>
  </si>
  <si>
    <t>Fruchtaufstrich</t>
  </si>
  <si>
    <t>Frühstücksportionen/Jahr</t>
  </si>
  <si>
    <t>Eingabefelder</t>
  </si>
  <si>
    <t>Kategorie der Ferienwohnungen (FWG)</t>
  </si>
  <si>
    <t>Durchschnitt</t>
  </si>
  <si>
    <t>Übernachtungen /Jahr</t>
  </si>
  <si>
    <t>Kinder (bis 10 Jahre)</t>
  </si>
  <si>
    <t>Allgemeine Angaben zu Belegung und Übernachtungen</t>
  </si>
  <si>
    <t>Allgemeine Angaben zum Frühstücksangebot</t>
  </si>
  <si>
    <t>Arbeitszeitbedarf</t>
  </si>
  <si>
    <t>Gesamtarbeitszeitbedarf</t>
  </si>
  <si>
    <t>davon Aushilfskräfte</t>
  </si>
  <si>
    <t>davon Festangestellte</t>
  </si>
  <si>
    <t>verbleibt für Familien-Arbeitskräfte</t>
  </si>
  <si>
    <t>Akh/Jahr</t>
  </si>
  <si>
    <t xml:space="preserve"> = notwendinger Mindestpreis zur Erreichung eines Deckungsbeitrags</t>
  </si>
  <si>
    <t xml:space="preserve"> = notwendinger Mindestpreis zur Erreichung eines Gewinns</t>
  </si>
  <si>
    <t xml:space="preserve"> = notwendinger Mindestpreis zur Erreichung eines Unternehmergewinns</t>
  </si>
  <si>
    <t xml:space="preserve"> /Frühstück</t>
  </si>
  <si>
    <t>-</t>
  </si>
  <si>
    <t>Sonstige variable Kosten</t>
  </si>
  <si>
    <t>Frühstücksport./Jahr</t>
  </si>
  <si>
    <t>Abschreib-ungsdauer in Jahre</t>
  </si>
  <si>
    <t>Abschreibung gesamt</t>
  </si>
  <si>
    <t>GEWINNBEITRAG</t>
  </si>
  <si>
    <t>Kapitalkosten Investition gesamt</t>
  </si>
  <si>
    <t>variable Kosten inkl. Personalkosten Aushilfskräfte</t>
  </si>
  <si>
    <t>Mischpreis Erwachsene/Kinder</t>
  </si>
  <si>
    <t>Investitionsbedarf</t>
  </si>
  <si>
    <t>der halben fremdfinanzierten Investitionssumme</t>
  </si>
  <si>
    <t>Gesamt Akmin</t>
  </si>
  <si>
    <t>Arbeitszeitaufwand pro Frühstück</t>
  </si>
  <si>
    <t>Akmin</t>
  </si>
  <si>
    <t>Akh</t>
  </si>
  <si>
    <t>Akh/Betrieb u. Jahr</t>
  </si>
  <si>
    <t>durchschn. Belegung Personen /FWG</t>
  </si>
  <si>
    <t>Frühstücks-portionen/Jahr</t>
  </si>
  <si>
    <t>vom Gesamterlös</t>
  </si>
  <si>
    <t>Wareneinsatz €/Portion</t>
  </si>
  <si>
    <t>Sitzplätze (in Abhängigkeit von Anzahl der FeWo u. durchschnittl. Belegung)</t>
  </si>
  <si>
    <t xml:space="preserve">m² </t>
  </si>
  <si>
    <t>Internet, Kabel, Telefon (anteilig)</t>
  </si>
  <si>
    <t>der Investitionssumme</t>
  </si>
  <si>
    <t>Zinsansatz eigenfinanzierte Investitionssumme</t>
  </si>
  <si>
    <t>SUMME Ausstattung Küche und Speiseraum</t>
  </si>
  <si>
    <r>
      <rPr>
        <b/>
        <sz val="11"/>
        <color theme="1"/>
        <rFont val="Calibri"/>
        <family val="2"/>
        <scheme val="minor"/>
      </rPr>
      <t>Lüftungsanlage</t>
    </r>
    <r>
      <rPr>
        <sz val="11"/>
        <color theme="1"/>
        <rFont val="Calibri"/>
        <family val="2"/>
        <scheme val="minor"/>
      </rPr>
      <t xml:space="preserve"> ab Gesamtleistung der Küchengeräte über 25 kW</t>
    </r>
  </si>
  <si>
    <r>
      <rPr>
        <b/>
        <sz val="11"/>
        <color theme="1"/>
        <rFont val="Calibri"/>
        <family val="2"/>
        <scheme val="minor"/>
      </rPr>
      <t>Abluftanlagen</t>
    </r>
    <r>
      <rPr>
        <sz val="11"/>
        <color theme="1"/>
        <rFont val="Calibri"/>
        <family val="2"/>
        <scheme val="minor"/>
      </rPr>
      <t xml:space="preserve"> über allen thermischen Geräten (+ Fettfilter!)</t>
    </r>
  </si>
  <si>
    <r>
      <rPr>
        <b/>
        <sz val="11"/>
        <color theme="1"/>
        <rFont val="Calibri"/>
        <family val="2"/>
        <scheme val="minor"/>
      </rPr>
      <t>Brandschutz:</t>
    </r>
    <r>
      <rPr>
        <sz val="11"/>
        <color theme="1"/>
        <rFont val="Calibri"/>
        <family val="2"/>
        <scheme val="minor"/>
      </rPr>
      <t xml:space="preserve"> alle Wände und Decken aus nichtbrennbaren Material + ausreichend Löschmöglichkeiten!</t>
    </r>
  </si>
  <si>
    <r>
      <rPr>
        <b/>
        <sz val="11"/>
        <color theme="1"/>
        <rFont val="Calibri"/>
        <family val="2"/>
        <scheme val="minor"/>
      </rPr>
      <t>Spülbecken</t>
    </r>
    <r>
      <rPr>
        <sz val="11"/>
        <color theme="1"/>
        <rFont val="Calibri"/>
        <family val="2"/>
        <scheme val="minor"/>
      </rPr>
      <t xml:space="preserve"> getrennt vom Handwaschbecken</t>
    </r>
  </si>
  <si>
    <t>auszuweisende USt. 19 %</t>
  </si>
  <si>
    <t>Bayerische Landesanstalt für Landwirtschaft, Institut für Betriebswirtschaft und Agrarstruktur, 2021</t>
  </si>
  <si>
    <t>Bayerische Landesanstalt für Landwirtschaft, Institut für Betriebswirtschaft und Agrarstruktur, März 2021</t>
  </si>
  <si>
    <t>ökologisch</t>
  </si>
  <si>
    <r>
      <t xml:space="preserve">Welche Anforderungen eine Küche, in der Lebensmittel verarbeitet und zum Verzehr angeboten werden, erfüllen muss finden Sie unter:
</t>
    </r>
    <r>
      <rPr>
        <b/>
        <sz val="11"/>
        <color theme="1"/>
        <rFont val="Calibri"/>
        <family val="2"/>
        <scheme val="minor"/>
      </rPr>
      <t>http://www.onlinehilfe-lebensmittelhygiene.de/gastronomie/</t>
    </r>
  </si>
  <si>
    <t>Krafstoff für 2 Einkaufsfahrten pro Woche</t>
  </si>
  <si>
    <t>Investitions-kosten</t>
  </si>
  <si>
    <t>Anteil 
Erwachsene/Kinder</t>
  </si>
  <si>
    <t xml:space="preserve">Aushilfs-Arbeitskräfte sind entlohnte Fremdarbeitskräfte, die nicht zum ständigen Personal gehören. </t>
  </si>
  <si>
    <t xml:space="preserve"> = DECKUNGSBEITRAG Frühstücksangebot</t>
  </si>
  <si>
    <t>Erledigung Arbeit durch Festangestellte AK</t>
  </si>
  <si>
    <t>Erledigung Arbeit durch nicht entlohnte AK</t>
  </si>
  <si>
    <t>Preisvorschlag IBA (brutto)</t>
  </si>
  <si>
    <t>Diese einfache Art der Preiskalkulation, die sogenannte Zuschlagskalkulation, wird häufig in der Gastronomie zur überschlagsmäßigen Kalkulation des Verkaufspreises verwendet! (siehe Kompendium zur Meisterausbildung Hauswirtschaft) Dabei ist zu beachten, dass höhere Kosten beim Wareneinsatz (Beispiel Öko-Lebensmittel) zu überproportionalen Aufschlägen und somit zu einem zu hohen Verkaufspreis führen können.</t>
  </si>
  <si>
    <t xml:space="preserve"> = SUMME VARIABLE KOSTEN</t>
  </si>
  <si>
    <t>Breze</t>
  </si>
  <si>
    <t>Brutto-Verkaufspreis €/Portion</t>
  </si>
  <si>
    <t>Info: Arbeitsbewertung (€/Akh) im Tabellenblatt 5) hinterlegt!</t>
  </si>
  <si>
    <t>Anteil     Erwachsene/Kinder</t>
  </si>
  <si>
    <t>Frühstücks-     portionen/Jahr</t>
  </si>
  <si>
    <t>Ansprechpartnerin:</t>
  </si>
  <si>
    <t>Julia Saller</t>
  </si>
  <si>
    <t>Bayerische Landesanstalt für Landwirtschaft</t>
  </si>
  <si>
    <t>Diversifizierung - Tourismus im ländlichen Raum</t>
  </si>
  <si>
    <t>Kleeberg 14</t>
  </si>
  <si>
    <t>94099 Ruhstorf a. d. Rott</t>
  </si>
  <si>
    <t>Telefon +49 8161 8640-5709</t>
  </si>
  <si>
    <t>julia.saller@lfl.bayern.de</t>
  </si>
  <si>
    <r>
      <t>1)</t>
    </r>
    <r>
      <rPr>
        <sz val="7"/>
        <color theme="1"/>
        <rFont val="Times New Roman"/>
        <family val="1"/>
      </rPr>
      <t xml:space="preserve">     </t>
    </r>
    <r>
      <rPr>
        <sz val="11"/>
        <color theme="1"/>
        <rFont val="Calibri"/>
        <family val="2"/>
        <scheme val="minor"/>
      </rPr>
      <t>Wareneinsatz:</t>
    </r>
  </si>
  <si>
    <r>
      <t>2)</t>
    </r>
    <r>
      <rPr>
        <sz val="7"/>
        <color theme="1"/>
        <rFont val="Times New Roman"/>
        <family val="1"/>
      </rPr>
      <t xml:space="preserve">     </t>
    </r>
    <r>
      <rPr>
        <sz val="11"/>
        <color theme="1"/>
        <rFont val="Calibri"/>
        <family val="2"/>
        <scheme val="minor"/>
      </rPr>
      <t xml:space="preserve">Angaben DB: </t>
    </r>
  </si>
  <si>
    <t>allgemeine Angaben zum Betrieb und dem Frühstücksangebot eintragen</t>
  </si>
  <si>
    <r>
      <t>3)</t>
    </r>
    <r>
      <rPr>
        <sz val="7"/>
        <color theme="1"/>
        <rFont val="Times New Roman"/>
        <family val="1"/>
      </rPr>
      <t xml:space="preserve">     </t>
    </r>
    <r>
      <rPr>
        <sz val="11"/>
        <color theme="1"/>
        <rFont val="Calibri"/>
        <family val="2"/>
        <scheme val="minor"/>
      </rPr>
      <t xml:space="preserve">Ergebnis DB kurz: </t>
    </r>
  </si>
  <si>
    <r>
      <t>4)</t>
    </r>
    <r>
      <rPr>
        <sz val="7"/>
        <color theme="1"/>
        <rFont val="Times New Roman"/>
        <family val="1"/>
      </rPr>
      <t>    </t>
    </r>
    <r>
      <rPr>
        <sz val="11"/>
        <color theme="1"/>
        <rFont val="Calibri"/>
        <family val="2"/>
        <scheme val="minor"/>
      </rPr>
      <t>DB Grafik:</t>
    </r>
  </si>
  <si>
    <t>grafische Darstellung der Rentabilität</t>
  </si>
  <si>
    <t>kompakte Ergebnis-Darstellung zu Deckungsbeitrags- und Vollkosten-Berechnung</t>
  </si>
  <si>
    <r>
      <t>5)</t>
    </r>
    <r>
      <rPr>
        <sz val="7"/>
        <color theme="1"/>
        <rFont val="Times New Roman"/>
        <family val="1"/>
      </rPr>
      <t>    </t>
    </r>
    <r>
      <rPr>
        <sz val="11"/>
        <color theme="1"/>
        <rFont val="Calibri"/>
        <family val="2"/>
        <scheme val="minor"/>
      </rPr>
      <t>Ergebnis DB ausführlich:</t>
    </r>
  </si>
  <si>
    <t>ausführliche Darstellung der Deckungsbeitrags- und Vollkosten-Berechnung</t>
  </si>
  <si>
    <t>Für Fragen und Anregungen rund um die Excel-Anwendung stehen wir Ihnen gerne zur Verfügung.</t>
  </si>
  <si>
    <t>Die Werte im folgenden Berechnungsschema "Ergebnis DB kurz" ergeben sich aus den Berechnungen in "5) Ergebnis DB ausführlich"!</t>
  </si>
  <si>
    <t>Bayerische Landesanstalt für Landwirtschaft, Institut für Betriebswirtschaft und Agrarstruktur, Dezember 2021</t>
  </si>
  <si>
    <t>Kalulationshilfe Frühstücksangebot auf Ferienhöfen - Tischfrühstück</t>
  </si>
  <si>
    <t>Frühstücksportionen für Erwachsene und Kinder zusammenstellen und ggf. Mengen- bzw. Preisangaben individuell anpassen</t>
  </si>
  <si>
    <t>Ausstattung?</t>
  </si>
  <si>
    <t>Haferdrink</t>
  </si>
  <si>
    <t>Sojadrink</t>
  </si>
  <si>
    <t>Institut für Agrarökonomie</t>
  </si>
  <si>
    <t>Bayerische Landesanstalt für Landwirtschaft, Institut für Agrarökonomie,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</si>
</sst>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0\ &quot;€&quot;;[Red]\-#,##0\ &quot;€&quot;"/>
    <numFmt numFmtId="8" formatCode="#,##0.00\ &quot;€&quot;;[Red]\-#,##0.00\ &quot;€&quot;"/>
    <numFmt numFmtId="44" formatCode="_-* #,##0.00\ &quot;€&quot;_-;\-* #,##0.00\ &quot;€&quot;_-;_-* &quot;-&quot;??\ &quot;€&quot;_-;_-@_-"/>
    <numFmt numFmtId="43" formatCode="_-* #,##0.00_-;\-* #,##0.00_-;_-* &quot;-&quot;??_-;_-@_-"/>
    <numFmt numFmtId="164" formatCode="_-* #,##0\ &quot;€&quot;_-;\-* #,##0\ &quot;€&quot;_-;_-* &quot;-&quot;??\ &quot;€&quot;_-;_-@_-"/>
    <numFmt numFmtId="165" formatCode="0.0%"/>
    <numFmt numFmtId="166" formatCode="0.0"/>
    <numFmt numFmtId="167" formatCode="_-* #,##0_-;\-* #,##0_-;_-* &quot;-&quot;??_-;_-@_-"/>
    <numFmt numFmtId="168" formatCode="0.000"/>
    <numFmt numFmtId="169" formatCode="#,##0.00\ &quot;€&quot;"/>
  </numFmts>
  <fonts count="24"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font>
    <font>
      <sz val="11"/>
      <color theme="1"/>
      <name val="Calibri"/>
      <family val="2"/>
    </font>
    <font>
      <b/>
      <sz val="11"/>
      <color theme="1"/>
      <name val="Calibri"/>
      <family val="2"/>
      <scheme val="minor"/>
    </font>
    <font>
      <sz val="11"/>
      <color theme="9" tint="0.59999389629810485"/>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sz val="11"/>
      <color theme="0"/>
      <name val="Calibri"/>
      <family val="2"/>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sz val="12"/>
      <color theme="9" tint="0.59999389629810485"/>
      <name val="Calibri"/>
      <family val="2"/>
      <scheme val="minor"/>
    </font>
    <font>
      <sz val="12"/>
      <color theme="0"/>
      <name val="Calibri"/>
      <family val="2"/>
      <scheme val="minor"/>
    </font>
    <font>
      <b/>
      <sz val="12"/>
      <color rgb="FFFF0000"/>
      <name val="Calibri"/>
      <family val="2"/>
      <scheme val="minor"/>
    </font>
    <font>
      <b/>
      <strike/>
      <sz val="12"/>
      <color rgb="FFFF0000"/>
      <name val="Calibri"/>
      <family val="2"/>
      <scheme val="minor"/>
    </font>
    <font>
      <sz val="7"/>
      <color theme="1"/>
      <name val="Times New Roman"/>
      <family val="1"/>
    </font>
    <font>
      <u/>
      <sz val="11"/>
      <color theme="10"/>
      <name val="Calibri"/>
      <family val="2"/>
      <scheme val="minor"/>
    </font>
    <font>
      <u/>
      <sz val="11"/>
      <color theme="1"/>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theme="8" tint="0.59999389629810485"/>
        <bgColor indexed="64"/>
      </patternFill>
    </fill>
    <fill>
      <patternFill patternType="solid">
        <fgColor theme="9" tint="0.59996337778862885"/>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60">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style="thin">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style="medium">
        <color indexed="64"/>
      </top>
      <bottom/>
      <diagonal/>
    </border>
    <border>
      <left/>
      <right style="thick">
        <color rgb="FF0070C0"/>
      </right>
      <top style="medium">
        <color indexed="64"/>
      </top>
      <bottom/>
      <diagonal/>
    </border>
    <border>
      <left style="thick">
        <color rgb="FF0070C0"/>
      </left>
      <right/>
      <top/>
      <bottom/>
      <diagonal/>
    </border>
    <border>
      <left/>
      <right style="thick">
        <color rgb="FF0070C0"/>
      </right>
      <top/>
      <bottom/>
      <diagonal/>
    </border>
    <border>
      <left style="thick">
        <color rgb="FF0070C0"/>
      </left>
      <right/>
      <top/>
      <bottom style="medium">
        <color indexed="64"/>
      </bottom>
      <diagonal/>
    </border>
    <border>
      <left/>
      <right style="thick">
        <color rgb="FF0070C0"/>
      </right>
      <top/>
      <bottom style="medium">
        <color indexed="64"/>
      </bottom>
      <diagonal/>
    </border>
    <border>
      <left style="thick">
        <color rgb="FF0070C0"/>
      </left>
      <right/>
      <top/>
      <bottom style="thin">
        <color indexed="64"/>
      </bottom>
      <diagonal/>
    </border>
    <border>
      <left/>
      <right style="thick">
        <color rgb="FF0070C0"/>
      </right>
      <top/>
      <bottom style="thin">
        <color indexed="64"/>
      </bottom>
      <diagonal/>
    </border>
    <border>
      <left style="thick">
        <color rgb="FF0070C0"/>
      </left>
      <right/>
      <top style="thin">
        <color indexed="64"/>
      </top>
      <bottom/>
      <diagonal/>
    </border>
    <border>
      <left/>
      <right style="thick">
        <color rgb="FF0070C0"/>
      </right>
      <top style="thin">
        <color indexed="64"/>
      </top>
      <bottom/>
      <diagonal/>
    </border>
    <border>
      <left style="thick">
        <color rgb="FF0070C0"/>
      </left>
      <right style="thin">
        <color indexed="64"/>
      </right>
      <top style="thin">
        <color indexed="64"/>
      </top>
      <bottom style="thin">
        <color indexed="64"/>
      </bottom>
      <diagonal/>
    </border>
    <border>
      <left style="thick">
        <color rgb="FF0070C0"/>
      </left>
      <right/>
      <top style="thin">
        <color indexed="64"/>
      </top>
      <bottom style="thin">
        <color indexed="64"/>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cellStyleXfs>
  <cellXfs count="571">
    <xf numFmtId="0" fontId="0" fillId="0" borderId="0" xfId="0"/>
    <xf numFmtId="0" fontId="4" fillId="0" borderId="7" xfId="0" applyFont="1" applyBorder="1" applyAlignment="1">
      <alignment vertical="center"/>
    </xf>
    <xf numFmtId="0" fontId="4" fillId="0" borderId="8" xfId="0" applyFont="1" applyBorder="1" applyAlignment="1">
      <alignment vertical="center" wrapText="1"/>
    </xf>
    <xf numFmtId="0" fontId="0" fillId="0" borderId="8" xfId="0" applyBorder="1"/>
    <xf numFmtId="0" fontId="4" fillId="0" borderId="8" xfId="0" applyFont="1" applyFill="1" applyBorder="1" applyAlignment="1">
      <alignment vertical="center" wrapText="1"/>
    </xf>
    <xf numFmtId="0" fontId="0" fillId="0" borderId="0" xfId="0" applyBorder="1"/>
    <xf numFmtId="2" fontId="0" fillId="0" borderId="0" xfId="0" applyNumberFormat="1" applyBorder="1"/>
    <xf numFmtId="0" fontId="0" fillId="0" borderId="8" xfId="0" applyFill="1" applyBorder="1"/>
    <xf numFmtId="44" fontId="0" fillId="0" borderId="0" xfId="1" applyFont="1"/>
    <xf numFmtId="44" fontId="0" fillId="0" borderId="0" xfId="1" applyFont="1" applyFill="1"/>
    <xf numFmtId="44" fontId="0" fillId="0" borderId="0" xfId="1" applyFont="1" applyFill="1" applyBorder="1"/>
    <xf numFmtId="44" fontId="0" fillId="0" borderId="0" xfId="1" applyFont="1" applyBorder="1"/>
    <xf numFmtId="44" fontId="0" fillId="0" borderId="8" xfId="1" applyFont="1" applyBorder="1"/>
    <xf numFmtId="44" fontId="0" fillId="0" borderId="8" xfId="1" applyFont="1" applyFill="1" applyBorder="1"/>
    <xf numFmtId="2" fontId="0" fillId="0" borderId="0" xfId="0" applyNumberFormat="1"/>
    <xf numFmtId="9" fontId="0" fillId="0" borderId="0" xfId="2" applyFont="1" applyBorder="1"/>
    <xf numFmtId="9" fontId="4" fillId="0" borderId="0" xfId="2" applyFont="1" applyBorder="1" applyAlignment="1">
      <alignment horizontal="right" vertical="center" wrapText="1"/>
    </xf>
    <xf numFmtId="0" fontId="2" fillId="0" borderId="0" xfId="0" applyFont="1"/>
    <xf numFmtId="0" fontId="0" fillId="0" borderId="0" xfId="0" applyFill="1" applyBorder="1"/>
    <xf numFmtId="0" fontId="5" fillId="0" borderId="0" xfId="0" applyFont="1" applyBorder="1" applyAlignment="1"/>
    <xf numFmtId="44" fontId="5" fillId="0" borderId="0" xfId="0" applyNumberFormat="1" applyFont="1" applyBorder="1" applyAlignment="1"/>
    <xf numFmtId="0" fontId="0" fillId="2" borderId="0" xfId="0" applyFill="1"/>
    <xf numFmtId="9" fontId="0" fillId="0" borderId="0" xfId="2" applyFont="1" applyFill="1" applyBorder="1" applyAlignment="1"/>
    <xf numFmtId="44" fontId="0" fillId="0" borderId="0" xfId="0" applyNumberFormat="1"/>
    <xf numFmtId="0" fontId="8" fillId="0" borderId="3" xfId="0" applyFont="1" applyBorder="1"/>
    <xf numFmtId="0" fontId="8" fillId="0" borderId="22" xfId="0" applyFont="1" applyBorder="1"/>
    <xf numFmtId="0" fontId="8" fillId="0" borderId="16" xfId="0" applyFont="1" applyBorder="1"/>
    <xf numFmtId="44" fontId="8" fillId="0" borderId="0" xfId="1" applyFont="1" applyFill="1" applyBorder="1"/>
    <xf numFmtId="0" fontId="5" fillId="0" borderId="0" xfId="0" applyFont="1"/>
    <xf numFmtId="0" fontId="8" fillId="0" borderId="0" xfId="0" applyFont="1" applyFill="1" applyBorder="1"/>
    <xf numFmtId="0" fontId="8" fillId="0" borderId="0" xfId="0" applyFont="1" applyFill="1" applyBorder="1" applyAlignment="1">
      <alignment horizontal="center"/>
    </xf>
    <xf numFmtId="1" fontId="8" fillId="0" borderId="0" xfId="0" applyNumberFormat="1" applyFont="1" applyFill="1" applyBorder="1"/>
    <xf numFmtId="9" fontId="5" fillId="0" borderId="0" xfId="2" applyFont="1" applyFill="1" applyBorder="1" applyAlignment="1"/>
    <xf numFmtId="0" fontId="5" fillId="0" borderId="0" xfId="0" applyFont="1" applyFill="1" applyBorder="1" applyAlignment="1"/>
    <xf numFmtId="44" fontId="5" fillId="0" borderId="0" xfId="0" applyNumberFormat="1" applyFont="1" applyFill="1" applyBorder="1" applyAlignment="1"/>
    <xf numFmtId="44" fontId="5" fillId="0" borderId="0" xfId="1" applyFont="1" applyFill="1" applyBorder="1" applyAlignment="1"/>
    <xf numFmtId="0" fontId="7" fillId="0" borderId="0" xfId="0" applyFont="1" applyBorder="1"/>
    <xf numFmtId="0" fontId="8" fillId="0" borderId="0" xfId="0" applyFont="1" applyBorder="1"/>
    <xf numFmtId="0" fontId="8" fillId="0" borderId="0" xfId="0" applyFont="1" applyBorder="1" applyAlignment="1">
      <alignment horizontal="center"/>
    </xf>
    <xf numFmtId="9" fontId="8" fillId="0" borderId="0" xfId="0" applyNumberFormat="1" applyFont="1" applyBorder="1"/>
    <xf numFmtId="164" fontId="8" fillId="0" borderId="0" xfId="0" applyNumberFormat="1" applyFont="1" applyBorder="1"/>
    <xf numFmtId="0" fontId="7" fillId="3" borderId="2" xfId="0" applyFont="1" applyFill="1" applyBorder="1"/>
    <xf numFmtId="0" fontId="8" fillId="3" borderId="3" xfId="0" applyFont="1" applyFill="1" applyBorder="1"/>
    <xf numFmtId="0" fontId="8" fillId="3" borderId="21" xfId="0" applyFont="1" applyFill="1" applyBorder="1"/>
    <xf numFmtId="0" fontId="8" fillId="3" borderId="22" xfId="0" applyFont="1" applyFill="1" applyBorder="1"/>
    <xf numFmtId="0" fontId="8" fillId="3" borderId="0" xfId="0" applyFont="1" applyFill="1" applyBorder="1"/>
    <xf numFmtId="0" fontId="8" fillId="3" borderId="1" xfId="0" applyFont="1" applyFill="1" applyBorder="1"/>
    <xf numFmtId="9" fontId="8" fillId="0" borderId="0" xfId="0" applyNumberFormat="1" applyFont="1" applyFill="1" applyBorder="1"/>
    <xf numFmtId="9" fontId="8" fillId="0" borderId="0" xfId="2" applyFont="1" applyFill="1" applyBorder="1"/>
    <xf numFmtId="0" fontId="7" fillId="0" borderId="0" xfId="0" applyFont="1" applyFill="1" applyBorder="1"/>
    <xf numFmtId="0" fontId="7" fillId="3" borderId="22" xfId="0" applyFont="1" applyFill="1" applyBorder="1"/>
    <xf numFmtId="0" fontId="7" fillId="0" borderId="22" xfId="0" applyFont="1" applyBorder="1"/>
    <xf numFmtId="2" fontId="8" fillId="0" borderId="0" xfId="0" applyNumberFormat="1" applyFont="1" applyFill="1" applyBorder="1"/>
    <xf numFmtId="164" fontId="8" fillId="0" borderId="0" xfId="0" applyNumberFormat="1" applyFont="1" applyFill="1" applyBorder="1"/>
    <xf numFmtId="44" fontId="7" fillId="0" borderId="0" xfId="1" applyFont="1" applyBorder="1"/>
    <xf numFmtId="164" fontId="8" fillId="0" borderId="3" xfId="0" applyNumberFormat="1" applyFont="1" applyBorder="1"/>
    <xf numFmtId="165" fontId="0" fillId="0" borderId="0" xfId="2" applyNumberFormat="1" applyFont="1" applyBorder="1"/>
    <xf numFmtId="44" fontId="5" fillId="0" borderId="0" xfId="0" applyNumberFormat="1" applyFont="1"/>
    <xf numFmtId="44" fontId="5" fillId="0" borderId="0" xfId="1" applyFont="1"/>
    <xf numFmtId="9" fontId="0" fillId="0" borderId="0" xfId="2" applyFont="1"/>
    <xf numFmtId="0" fontId="0" fillId="0" borderId="0" xfId="0" applyFont="1" applyBorder="1"/>
    <xf numFmtId="0" fontId="0" fillId="0" borderId="0" xfId="0" applyFont="1" applyFill="1" applyBorder="1"/>
    <xf numFmtId="0" fontId="5" fillId="0" borderId="1" xfId="0" applyFont="1" applyBorder="1"/>
    <xf numFmtId="0" fontId="0" fillId="0" borderId="22" xfId="0" applyFont="1" applyBorder="1"/>
    <xf numFmtId="44" fontId="5" fillId="0" borderId="0" xfId="0" applyNumberFormat="1" applyFont="1" applyBorder="1"/>
    <xf numFmtId="44" fontId="0" fillId="0" borderId="0" xfId="1" applyNumberFormat="1" applyFont="1"/>
    <xf numFmtId="167" fontId="0" fillId="0" borderId="0" xfId="3" applyNumberFormat="1" applyFont="1"/>
    <xf numFmtId="167" fontId="0" fillId="0" borderId="0" xfId="0" applyNumberFormat="1"/>
    <xf numFmtId="0" fontId="0" fillId="4" borderId="0" xfId="0" applyFill="1"/>
    <xf numFmtId="9" fontId="0" fillId="0" borderId="0" xfId="2" applyFont="1" applyBorder="1" applyAlignment="1">
      <alignment horizontal="center"/>
    </xf>
    <xf numFmtId="0" fontId="5" fillId="0" borderId="0" xfId="0" applyFont="1" applyBorder="1"/>
    <xf numFmtId="44" fontId="5" fillId="0" borderId="0" xfId="1" applyFont="1" applyBorder="1"/>
    <xf numFmtId="44" fontId="5" fillId="0" borderId="0" xfId="0" applyNumberFormat="1" applyFont="1" applyFill="1" applyBorder="1"/>
    <xf numFmtId="0" fontId="5" fillId="0" borderId="0" xfId="0" applyFont="1" applyFill="1" applyBorder="1"/>
    <xf numFmtId="164" fontId="5" fillId="0" borderId="0" xfId="0" applyNumberFormat="1" applyFont="1" applyFill="1" applyBorder="1"/>
    <xf numFmtId="44" fontId="0" fillId="0" borderId="6" xfId="1" applyFont="1" applyBorder="1"/>
    <xf numFmtId="9" fontId="5" fillId="0" borderId="16" xfId="2" applyFont="1" applyBorder="1"/>
    <xf numFmtId="0" fontId="7" fillId="0" borderId="22" xfId="0" applyFont="1" applyFill="1" applyBorder="1"/>
    <xf numFmtId="0" fontId="8" fillId="3" borderId="0" xfId="0" applyFont="1" applyFill="1" applyBorder="1" applyAlignment="1">
      <alignment horizontal="center"/>
    </xf>
    <xf numFmtId="0" fontId="8" fillId="3" borderId="23" xfId="0" applyFont="1" applyFill="1" applyBorder="1"/>
    <xf numFmtId="1" fontId="0" fillId="0" borderId="0" xfId="2" applyNumberFormat="1" applyFont="1" applyBorder="1"/>
    <xf numFmtId="0" fontId="5" fillId="5" borderId="0" xfId="0" applyFont="1" applyFill="1" applyBorder="1"/>
    <xf numFmtId="44" fontId="7" fillId="5" borderId="0" xfId="1" applyFont="1" applyFill="1" applyBorder="1"/>
    <xf numFmtId="0" fontId="0" fillId="0" borderId="0" xfId="0" applyFont="1"/>
    <xf numFmtId="44" fontId="0" fillId="0" borderId="0" xfId="1" applyFont="1" applyBorder="1" applyAlignment="1"/>
    <xf numFmtId="2" fontId="8" fillId="0" borderId="0" xfId="0" applyNumberFormat="1" applyFont="1" applyBorder="1" applyAlignment="1">
      <alignment horizontal="center" vertical="center" wrapText="1"/>
    </xf>
    <xf numFmtId="168" fontId="8" fillId="0" borderId="0" xfId="0" applyNumberFormat="1" applyFont="1" applyBorder="1" applyAlignment="1">
      <alignment horizontal="center" vertical="center" wrapText="1"/>
    </xf>
    <xf numFmtId="0" fontId="0" fillId="0" borderId="1" xfId="0" applyFont="1" applyBorder="1"/>
    <xf numFmtId="8" fontId="5" fillId="0" borderId="20" xfId="0" applyNumberFormat="1" applyFont="1" applyBorder="1"/>
    <xf numFmtId="44" fontId="5" fillId="0" borderId="20" xfId="1" applyFont="1" applyBorder="1"/>
    <xf numFmtId="0" fontId="0" fillId="7" borderId="0" xfId="0" applyFill="1"/>
    <xf numFmtId="0" fontId="0" fillId="7" borderId="8" xfId="0" applyFill="1" applyBorder="1"/>
    <xf numFmtId="0" fontId="0" fillId="0" borderId="0" xfId="0" applyBorder="1" applyAlignment="1">
      <alignment horizontal="center"/>
    </xf>
    <xf numFmtId="44" fontId="0" fillId="0" borderId="0" xfId="1" applyFont="1" applyBorder="1" applyAlignment="1">
      <alignment horizontal="center"/>
    </xf>
    <xf numFmtId="0" fontId="11" fillId="7" borderId="0" xfId="0" applyFont="1" applyFill="1" applyBorder="1" applyAlignment="1">
      <alignment vertical="center" wrapText="1"/>
    </xf>
    <xf numFmtId="0" fontId="2" fillId="7" borderId="0" xfId="0" applyFont="1" applyFill="1" applyBorder="1"/>
    <xf numFmtId="44" fontId="2" fillId="7" borderId="0" xfId="1" applyFont="1" applyFill="1" applyBorder="1"/>
    <xf numFmtId="2" fontId="2" fillId="7" borderId="0" xfId="0" applyNumberFormat="1" applyFont="1" applyFill="1" applyBorder="1"/>
    <xf numFmtId="2" fontId="0" fillId="0" borderId="8" xfId="0" applyNumberFormat="1" applyBorder="1"/>
    <xf numFmtId="44" fontId="7" fillId="0" borderId="0" xfId="1" applyFont="1" applyFill="1" applyBorder="1"/>
    <xf numFmtId="0" fontId="5" fillId="7" borderId="0" xfId="0" applyFont="1" applyFill="1"/>
    <xf numFmtId="0" fontId="5" fillId="0" borderId="22" xfId="0" applyFont="1" applyBorder="1"/>
    <xf numFmtId="0" fontId="8" fillId="0" borderId="20" xfId="0" applyFont="1" applyBorder="1"/>
    <xf numFmtId="9" fontId="0" fillId="0" borderId="16" xfId="2" applyFont="1" applyBorder="1"/>
    <xf numFmtId="0" fontId="7" fillId="5" borderId="2" xfId="0" applyFont="1" applyFill="1" applyBorder="1"/>
    <xf numFmtId="164" fontId="7" fillId="5" borderId="16" xfId="0" applyNumberFormat="1" applyFont="1" applyFill="1" applyBorder="1"/>
    <xf numFmtId="0" fontId="7" fillId="5" borderId="22" xfId="0" applyFont="1" applyFill="1" applyBorder="1"/>
    <xf numFmtId="44" fontId="5" fillId="5" borderId="0" xfId="1" applyFont="1" applyFill="1"/>
    <xf numFmtId="1" fontId="5" fillId="8" borderId="6" xfId="0" applyNumberFormat="1" applyFont="1" applyFill="1" applyBorder="1"/>
    <xf numFmtId="44" fontId="5" fillId="8" borderId="0" xfId="1" applyFont="1" applyFill="1"/>
    <xf numFmtId="0" fontId="5" fillId="8" borderId="0" xfId="0" applyFont="1" applyFill="1" applyBorder="1"/>
    <xf numFmtId="164" fontId="5" fillId="8" borderId="0" xfId="0" applyNumberFormat="1" applyFont="1" applyFill="1" applyBorder="1"/>
    <xf numFmtId="44" fontId="5" fillId="8" borderId="0" xfId="0" applyNumberFormat="1" applyFont="1" applyFill="1"/>
    <xf numFmtId="0" fontId="5" fillId="0" borderId="25" xfId="0" applyFont="1" applyBorder="1"/>
    <xf numFmtId="0" fontId="5" fillId="0" borderId="0" xfId="0" applyFont="1" applyBorder="1" applyAlignment="1">
      <alignment horizontal="center" wrapText="1"/>
    </xf>
    <xf numFmtId="0" fontId="7" fillId="5" borderId="1" xfId="0" applyFont="1" applyFill="1" applyBorder="1"/>
    <xf numFmtId="0" fontId="8" fillId="0" borderId="0" xfId="0" applyFont="1" applyFill="1" applyBorder="1" applyAlignment="1">
      <alignment horizontal="center" wrapText="1"/>
    </xf>
    <xf numFmtId="0" fontId="8" fillId="0" borderId="0" xfId="0" applyFont="1" applyBorder="1" applyAlignment="1">
      <alignment horizontal="center" wrapText="1"/>
    </xf>
    <xf numFmtId="0" fontId="0" fillId="0" borderId="0" xfId="0" applyFont="1" applyBorder="1" applyAlignment="1">
      <alignment horizontal="center"/>
    </xf>
    <xf numFmtId="8" fontId="7" fillId="5" borderId="0" xfId="1" applyNumberFormat="1" applyFont="1" applyFill="1" applyBorder="1"/>
    <xf numFmtId="0" fontId="7" fillId="9" borderId="2" xfId="0" applyFont="1" applyFill="1" applyBorder="1"/>
    <xf numFmtId="44" fontId="7" fillId="9" borderId="16" xfId="1" applyFont="1" applyFill="1" applyBorder="1"/>
    <xf numFmtId="0" fontId="7" fillId="9" borderId="17" xfId="0" applyFont="1" applyFill="1" applyBorder="1"/>
    <xf numFmtId="0" fontId="7" fillId="9" borderId="9" xfId="0" applyFont="1" applyFill="1" applyBorder="1"/>
    <xf numFmtId="0" fontId="7" fillId="9" borderId="12" xfId="0" applyFont="1" applyFill="1" applyBorder="1"/>
    <xf numFmtId="0" fontId="7" fillId="9" borderId="13" xfId="0" applyFont="1" applyFill="1" applyBorder="1"/>
    <xf numFmtId="44" fontId="7" fillId="9" borderId="13" xfId="0" applyNumberFormat="1" applyFont="1" applyFill="1" applyBorder="1"/>
    <xf numFmtId="0" fontId="7" fillId="9" borderId="14" xfId="0" applyFont="1" applyFill="1" applyBorder="1"/>
    <xf numFmtId="44" fontId="5" fillId="9" borderId="0" xfId="1" applyFont="1" applyFill="1"/>
    <xf numFmtId="0" fontId="5" fillId="9" borderId="12" xfId="0" applyFont="1" applyFill="1" applyBorder="1" applyAlignment="1">
      <alignment horizontal="left"/>
    </xf>
    <xf numFmtId="44" fontId="5" fillId="9" borderId="13" xfId="0" applyNumberFormat="1" applyFont="1" applyFill="1" applyBorder="1"/>
    <xf numFmtId="0" fontId="5" fillId="9" borderId="14" xfId="0" applyFont="1" applyFill="1" applyBorder="1"/>
    <xf numFmtId="0" fontId="5" fillId="9" borderId="12" xfId="0" applyFont="1" applyFill="1" applyBorder="1"/>
    <xf numFmtId="44" fontId="5" fillId="9" borderId="13" xfId="1" applyFont="1" applyFill="1" applyBorder="1"/>
    <xf numFmtId="0" fontId="7" fillId="9" borderId="15" xfId="0" applyFont="1" applyFill="1" applyBorder="1"/>
    <xf numFmtId="8" fontId="7" fillId="0" borderId="0" xfId="1" applyNumberFormat="1" applyFont="1" applyFill="1" applyBorder="1"/>
    <xf numFmtId="0" fontId="7" fillId="0" borderId="1" xfId="0" applyFont="1" applyFill="1" applyBorder="1"/>
    <xf numFmtId="0" fontId="7" fillId="5" borderId="9" xfId="0" applyFont="1" applyFill="1" applyBorder="1"/>
    <xf numFmtId="0" fontId="5" fillId="9" borderId="0" xfId="0" applyFont="1" applyFill="1" applyBorder="1"/>
    <xf numFmtId="0" fontId="5" fillId="0" borderId="0" xfId="0" applyFont="1" applyBorder="1" applyAlignment="1">
      <alignment horizontal="right"/>
    </xf>
    <xf numFmtId="0" fontId="12" fillId="0" borderId="0" xfId="0" applyFont="1" applyBorder="1"/>
    <xf numFmtId="0" fontId="13" fillId="0" borderId="0" xfId="0" applyFont="1" applyBorder="1"/>
    <xf numFmtId="44" fontId="12" fillId="0" borderId="0" xfId="1" applyFont="1" applyBorder="1"/>
    <xf numFmtId="44" fontId="12" fillId="0" borderId="0" xfId="0" applyNumberFormat="1" applyFont="1" applyBorder="1"/>
    <xf numFmtId="0" fontId="12" fillId="0" borderId="0" xfId="0" applyFont="1" applyFill="1" applyBorder="1"/>
    <xf numFmtId="0" fontId="14" fillId="0" borderId="0" xfId="0" applyFont="1" applyBorder="1"/>
    <xf numFmtId="44" fontId="15" fillId="0" borderId="0" xfId="0" applyNumberFormat="1" applyFont="1" applyBorder="1"/>
    <xf numFmtId="0" fontId="12" fillId="5" borderId="0" xfId="0" applyFont="1" applyFill="1" applyBorder="1"/>
    <xf numFmtId="44" fontId="12" fillId="5" borderId="0" xfId="0" applyNumberFormat="1" applyFont="1" applyFill="1" applyBorder="1"/>
    <xf numFmtId="44" fontId="12" fillId="5" borderId="0" xfId="1" applyFont="1" applyFill="1" applyBorder="1"/>
    <xf numFmtId="164" fontId="13" fillId="0" borderId="0" xfId="0" applyNumberFormat="1" applyFont="1" applyBorder="1"/>
    <xf numFmtId="44" fontId="12" fillId="0" borderId="0" xfId="1" applyFont="1" applyFill="1" applyBorder="1"/>
    <xf numFmtId="0" fontId="15" fillId="0" borderId="0" xfId="0" applyFont="1" applyFill="1" applyBorder="1"/>
    <xf numFmtId="8" fontId="15" fillId="0" borderId="0" xfId="0" applyNumberFormat="1" applyFont="1" applyBorder="1"/>
    <xf numFmtId="0" fontId="15" fillId="0" borderId="0" xfId="0" applyFont="1" applyBorder="1"/>
    <xf numFmtId="0" fontId="15" fillId="5" borderId="0" xfId="0" applyFont="1" applyFill="1" applyBorder="1"/>
    <xf numFmtId="0" fontId="14" fillId="5" borderId="0" xfId="0" applyFont="1" applyFill="1" applyBorder="1"/>
    <xf numFmtId="44" fontId="15" fillId="5" borderId="0" xfId="0" applyNumberFormat="1" applyFont="1" applyFill="1" applyBorder="1"/>
    <xf numFmtId="6" fontId="15" fillId="0" borderId="0" xfId="0" applyNumberFormat="1" applyFont="1" applyBorder="1"/>
    <xf numFmtId="44" fontId="15" fillId="0" borderId="0" xfId="1" applyFont="1" applyBorder="1"/>
    <xf numFmtId="44" fontId="15" fillId="5" borderId="0" xfId="1" applyFont="1" applyFill="1" applyBorder="1"/>
    <xf numFmtId="0" fontId="13" fillId="6" borderId="0" xfId="0" applyFont="1" applyFill="1" applyBorder="1"/>
    <xf numFmtId="0" fontId="14" fillId="7" borderId="0" xfId="0" applyFont="1" applyFill="1"/>
    <xf numFmtId="0" fontId="14" fillId="0" borderId="0" xfId="0" applyFont="1"/>
    <xf numFmtId="0" fontId="12" fillId="0" borderId="2" xfId="0" applyFont="1" applyFill="1" applyBorder="1"/>
    <xf numFmtId="0" fontId="13" fillId="0" borderId="3" xfId="0" applyFont="1" applyFill="1" applyBorder="1"/>
    <xf numFmtId="0" fontId="14" fillId="0" borderId="21" xfId="0" applyFont="1" applyBorder="1"/>
    <xf numFmtId="0" fontId="12" fillId="0" borderId="22" xfId="0" applyFont="1" applyFill="1" applyBorder="1"/>
    <xf numFmtId="0" fontId="13" fillId="0" borderId="0" xfId="0" applyFont="1" applyFill="1" applyBorder="1"/>
    <xf numFmtId="0" fontId="14" fillId="0" borderId="1" xfId="0" applyFont="1" applyBorder="1"/>
    <xf numFmtId="0" fontId="13" fillId="0" borderId="22" xfId="0" applyFont="1" applyFill="1" applyBorder="1"/>
    <xf numFmtId="0" fontId="12" fillId="0" borderId="27" xfId="0" applyFont="1" applyFill="1" applyBorder="1"/>
    <xf numFmtId="0" fontId="12" fillId="0" borderId="9" xfId="0" applyFont="1" applyFill="1" applyBorder="1"/>
    <xf numFmtId="0" fontId="12" fillId="0" borderId="16" xfId="0" applyFont="1" applyFill="1" applyBorder="1"/>
    <xf numFmtId="0" fontId="14" fillId="0" borderId="17" xfId="0" applyFont="1" applyBorder="1"/>
    <xf numFmtId="0" fontId="13" fillId="0" borderId="22" xfId="0" applyFont="1" applyBorder="1" applyAlignment="1">
      <alignment horizontal="left"/>
    </xf>
    <xf numFmtId="0" fontId="13" fillId="0" borderId="0" xfId="0" applyFont="1" applyBorder="1" applyAlignment="1">
      <alignment horizontal="center"/>
    </xf>
    <xf numFmtId="0" fontId="14" fillId="0" borderId="22" xfId="0" applyFont="1" applyBorder="1"/>
    <xf numFmtId="0" fontId="13" fillId="0" borderId="22" xfId="0" applyFont="1" applyBorder="1"/>
    <xf numFmtId="0" fontId="13" fillId="0" borderId="9" xfId="0" applyFont="1" applyBorder="1"/>
    <xf numFmtId="0" fontId="15" fillId="0" borderId="2" xfId="0" applyFont="1" applyBorder="1"/>
    <xf numFmtId="1" fontId="15" fillId="0" borderId="0" xfId="0" applyNumberFormat="1" applyFont="1" applyBorder="1"/>
    <xf numFmtId="0" fontId="15" fillId="0" borderId="1" xfId="0" applyFont="1" applyBorder="1"/>
    <xf numFmtId="0" fontId="14" fillId="0" borderId="9" xfId="0" applyFont="1" applyBorder="1"/>
    <xf numFmtId="1" fontId="14" fillId="0" borderId="16" xfId="0" applyNumberFormat="1" applyFont="1" applyBorder="1"/>
    <xf numFmtId="0" fontId="14" fillId="0" borderId="16" xfId="0" applyFont="1" applyBorder="1"/>
    <xf numFmtId="44" fontId="15" fillId="0" borderId="2" xfId="1" applyFont="1" applyBorder="1" applyAlignment="1"/>
    <xf numFmtId="0" fontId="14" fillId="0" borderId="3" xfId="0" applyFont="1" applyBorder="1"/>
    <xf numFmtId="44" fontId="14" fillId="0" borderId="0" xfId="0" applyNumberFormat="1" applyFont="1" applyBorder="1"/>
    <xf numFmtId="0" fontId="14" fillId="0" borderId="0" xfId="0" applyFont="1" applyFill="1" applyBorder="1"/>
    <xf numFmtId="0" fontId="5" fillId="0" borderId="24" xfId="0" applyFont="1" applyBorder="1"/>
    <xf numFmtId="0" fontId="7" fillId="0" borderId="24" xfId="0" applyFont="1" applyBorder="1"/>
    <xf numFmtId="0" fontId="14" fillId="0" borderId="0" xfId="0" applyFont="1" applyFill="1" applyBorder="1" applyAlignment="1"/>
    <xf numFmtId="2" fontId="14" fillId="0" borderId="0" xfId="0" applyNumberFormat="1" applyFont="1" applyFill="1" applyBorder="1" applyAlignment="1">
      <alignment horizontal="center"/>
    </xf>
    <xf numFmtId="2" fontId="14" fillId="0" borderId="0" xfId="0" applyNumberFormat="1" applyFont="1" applyFill="1" applyBorder="1" applyAlignment="1">
      <alignment horizontal="center" wrapText="1"/>
    </xf>
    <xf numFmtId="0" fontId="14" fillId="0" borderId="0" xfId="0" applyFont="1" applyFill="1" applyBorder="1" applyAlignment="1">
      <alignment horizontal="right"/>
    </xf>
    <xf numFmtId="9" fontId="14" fillId="0" borderId="0" xfId="2" applyFont="1" applyAlignment="1">
      <alignment horizontal="center"/>
    </xf>
    <xf numFmtId="9" fontId="14" fillId="0" borderId="0" xfId="2" applyFont="1"/>
    <xf numFmtId="9" fontId="14" fillId="0" borderId="0" xfId="2" applyFont="1" applyFill="1" applyBorder="1" applyAlignment="1">
      <alignment horizontal="center"/>
    </xf>
    <xf numFmtId="0" fontId="16" fillId="0" borderId="0" xfId="0" applyFont="1"/>
    <xf numFmtId="0" fontId="14" fillId="0" borderId="0" xfId="0" applyFont="1" applyFill="1" applyBorder="1" applyAlignment="1">
      <alignment horizontal="center"/>
    </xf>
    <xf numFmtId="9" fontId="14" fillId="0" borderId="0" xfId="0" applyNumberFormat="1" applyFont="1" applyFill="1" applyBorder="1"/>
    <xf numFmtId="44" fontId="15" fillId="0" borderId="0" xfId="1" applyFont="1" applyFill="1" applyBorder="1"/>
    <xf numFmtId="166" fontId="5" fillId="0" borderId="0" xfId="0" applyNumberFormat="1" applyFont="1" applyBorder="1"/>
    <xf numFmtId="44" fontId="5" fillId="9" borderId="14" xfId="1" applyFont="1" applyFill="1" applyBorder="1" applyAlignment="1">
      <alignment vertical="top"/>
    </xf>
    <xf numFmtId="44" fontId="15" fillId="9" borderId="15" xfId="1" applyFont="1" applyFill="1" applyBorder="1" applyAlignment="1">
      <alignment horizontal="center"/>
    </xf>
    <xf numFmtId="44" fontId="14" fillId="8" borderId="15" xfId="1" applyFont="1" applyFill="1" applyBorder="1" applyAlignment="1">
      <alignment horizontal="center"/>
    </xf>
    <xf numFmtId="44" fontId="14" fillId="8" borderId="15" xfId="0" applyNumberFormat="1" applyFont="1" applyFill="1" applyBorder="1"/>
    <xf numFmtId="0" fontId="15" fillId="0" borderId="0" xfId="0" applyFont="1" applyFill="1" applyBorder="1" applyAlignment="1">
      <alignment horizontal="right"/>
    </xf>
    <xf numFmtId="44" fontId="15" fillId="9" borderId="15" xfId="0" applyNumberFormat="1" applyFont="1" applyFill="1" applyBorder="1"/>
    <xf numFmtId="0" fontId="15" fillId="9" borderId="0" xfId="0" applyFont="1" applyFill="1"/>
    <xf numFmtId="0" fontId="13" fillId="0" borderId="0" xfId="0" applyFont="1"/>
    <xf numFmtId="0" fontId="15" fillId="0" borderId="34" xfId="0" applyFont="1" applyBorder="1"/>
    <xf numFmtId="44" fontId="15" fillId="0" borderId="34" xfId="1" applyFont="1" applyBorder="1"/>
    <xf numFmtId="0" fontId="13" fillId="8" borderId="0" xfId="0" applyFont="1" applyFill="1"/>
    <xf numFmtId="0" fontId="14" fillId="8" borderId="0" xfId="0" applyFont="1" applyFill="1"/>
    <xf numFmtId="0" fontId="12" fillId="0" borderId="26" xfId="0" applyFont="1" applyFill="1" applyBorder="1" applyAlignment="1">
      <alignment horizontal="center"/>
    </xf>
    <xf numFmtId="0" fontId="12" fillId="0" borderId="16" xfId="0" applyFont="1" applyFill="1" applyBorder="1" applyAlignment="1">
      <alignment horizontal="center"/>
    </xf>
    <xf numFmtId="1" fontId="12" fillId="0" borderId="26" xfId="0" applyNumberFormat="1" applyFont="1" applyFill="1" applyBorder="1" applyAlignment="1">
      <alignment horizontal="center"/>
    </xf>
    <xf numFmtId="0" fontId="14" fillId="0" borderId="1" xfId="0" applyFont="1" applyBorder="1" applyAlignment="1">
      <alignment horizontal="center"/>
    </xf>
    <xf numFmtId="0" fontId="15" fillId="0" borderId="28" xfId="0" applyFont="1" applyBorder="1" applyAlignment="1">
      <alignment horizontal="center"/>
    </xf>
    <xf numFmtId="0" fontId="14" fillId="0" borderId="3" xfId="0" applyFont="1" applyFill="1" applyBorder="1"/>
    <xf numFmtId="0" fontId="14" fillId="0" borderId="21" xfId="0" applyFont="1" applyFill="1" applyBorder="1"/>
    <xf numFmtId="0" fontId="12" fillId="0" borderId="21" xfId="0" applyFont="1" applyBorder="1" applyAlignment="1">
      <alignment horizontal="center" vertical="center"/>
    </xf>
    <xf numFmtId="0" fontId="0" fillId="0" borderId="0" xfId="0" applyFont="1" applyBorder="1" applyAlignment="1">
      <alignment horizontal="center" wrapText="1"/>
    </xf>
    <xf numFmtId="0" fontId="0" fillId="0" borderId="16" xfId="0" applyFont="1" applyBorder="1"/>
    <xf numFmtId="0" fontId="0" fillId="0" borderId="3" xfId="0" applyFont="1" applyBorder="1"/>
    <xf numFmtId="0" fontId="0" fillId="0" borderId="0" xfId="0" applyNumberFormat="1" applyFont="1" applyBorder="1"/>
    <xf numFmtId="2" fontId="0" fillId="0" borderId="0" xfId="0" applyNumberFormat="1" applyFont="1" applyBorder="1"/>
    <xf numFmtId="0" fontId="0" fillId="0" borderId="6" xfId="0" applyFont="1" applyBorder="1"/>
    <xf numFmtId="166" fontId="0" fillId="0" borderId="0" xfId="0" applyNumberFormat="1" applyFont="1" applyBorder="1"/>
    <xf numFmtId="0" fontId="0" fillId="0" borderId="23" xfId="0" applyFont="1" applyBorder="1"/>
    <xf numFmtId="0" fontId="0" fillId="0" borderId="20" xfId="0" applyFont="1" applyBorder="1"/>
    <xf numFmtId="0" fontId="0" fillId="0" borderId="9" xfId="0" applyFont="1" applyBorder="1"/>
    <xf numFmtId="0" fontId="0" fillId="0" borderId="16" xfId="0" applyFont="1" applyBorder="1" applyAlignment="1">
      <alignment horizontal="right"/>
    </xf>
    <xf numFmtId="0" fontId="0" fillId="0" borderId="22" xfId="0" applyFont="1" applyBorder="1" applyAlignment="1">
      <alignment vertical="center" wrapText="1"/>
    </xf>
    <xf numFmtId="1" fontId="0" fillId="0" borderId="0" xfId="0" applyNumberFormat="1" applyFont="1" applyBorder="1"/>
    <xf numFmtId="0" fontId="0" fillId="0" borderId="22" xfId="0" applyFont="1" applyBorder="1" applyAlignment="1"/>
    <xf numFmtId="0" fontId="0" fillId="0" borderId="0" xfId="0" applyFont="1" applyBorder="1" applyAlignment="1"/>
    <xf numFmtId="0" fontId="0" fillId="0" borderId="1" xfId="0" applyFont="1" applyBorder="1" applyAlignment="1"/>
    <xf numFmtId="0" fontId="0" fillId="0" borderId="0" xfId="0" applyFont="1" applyBorder="1" applyAlignment="1">
      <alignment vertical="center"/>
    </xf>
    <xf numFmtId="1" fontId="0" fillId="0" borderId="16" xfId="0" applyNumberFormat="1" applyFont="1" applyBorder="1"/>
    <xf numFmtId="0" fontId="0" fillId="0" borderId="0" xfId="0" applyFont="1" applyBorder="1" applyAlignment="1">
      <alignment horizontal="center" vertical="center"/>
    </xf>
    <xf numFmtId="0" fontId="0" fillId="0" borderId="21" xfId="0" applyFont="1" applyBorder="1"/>
    <xf numFmtId="0" fontId="0" fillId="0" borderId="0" xfId="0" applyFont="1" applyBorder="1" applyAlignment="1">
      <alignment wrapText="1"/>
    </xf>
    <xf numFmtId="44" fontId="0" fillId="0" borderId="0" xfId="0" applyNumberFormat="1" applyFont="1" applyBorder="1" applyAlignment="1">
      <alignment horizontal="center"/>
    </xf>
    <xf numFmtId="9" fontId="0" fillId="0" borderId="0" xfId="0" applyNumberFormat="1" applyFont="1" applyBorder="1" applyAlignment="1">
      <alignment horizontal="center"/>
    </xf>
    <xf numFmtId="9" fontId="0" fillId="0" borderId="20" xfId="0" applyNumberFormat="1" applyFont="1" applyBorder="1"/>
    <xf numFmtId="0" fontId="0" fillId="0" borderId="0" xfId="0" applyFont="1" applyFill="1" applyBorder="1" applyAlignment="1">
      <alignment horizontal="center"/>
    </xf>
    <xf numFmtId="0" fontId="0" fillId="0" borderId="20" xfId="0" applyFont="1" applyBorder="1" applyAlignment="1">
      <alignment horizontal="center"/>
    </xf>
    <xf numFmtId="9" fontId="0" fillId="0" borderId="0" xfId="0" applyNumberFormat="1" applyFont="1" applyBorder="1"/>
    <xf numFmtId="0" fontId="0" fillId="0" borderId="0" xfId="0" applyFont="1" applyFill="1"/>
    <xf numFmtId="9" fontId="0" fillId="0" borderId="0" xfId="0" applyNumberFormat="1" applyFont="1" applyFill="1" applyBorder="1"/>
    <xf numFmtId="0" fontId="0" fillId="0" borderId="22" xfId="0" applyFont="1" applyFill="1" applyBorder="1"/>
    <xf numFmtId="0" fontId="0" fillId="0" borderId="4" xfId="0" applyFont="1" applyBorder="1"/>
    <xf numFmtId="0" fontId="0" fillId="0" borderId="0" xfId="0" applyFont="1" applyAlignment="1">
      <alignment horizontal="right"/>
    </xf>
    <xf numFmtId="9" fontId="0" fillId="0" borderId="0" xfId="0" applyNumberFormat="1" applyFont="1" applyBorder="1" applyAlignment="1"/>
    <xf numFmtId="0" fontId="0" fillId="9" borderId="13" xfId="0" applyFont="1" applyFill="1" applyBorder="1"/>
    <xf numFmtId="44" fontId="0" fillId="0" borderId="0" xfId="0" applyNumberFormat="1" applyFont="1"/>
    <xf numFmtId="1" fontId="0" fillId="0" borderId="0" xfId="0" applyNumberFormat="1" applyFont="1" applyFill="1" applyBorder="1" applyAlignment="1">
      <alignment horizontal="center"/>
    </xf>
    <xf numFmtId="9" fontId="0" fillId="0" borderId="0" xfId="0" applyNumberFormat="1" applyFont="1" applyFill="1" applyBorder="1" applyAlignment="1">
      <alignment horizontal="center"/>
    </xf>
    <xf numFmtId="0" fontId="0" fillId="0" borderId="0" xfId="0" applyFont="1" applyFill="1" applyBorder="1" applyAlignment="1">
      <alignment horizontal="right"/>
    </xf>
    <xf numFmtId="164" fontId="7" fillId="0" borderId="0" xfId="0" applyNumberFormat="1" applyFont="1" applyBorder="1" applyAlignment="1">
      <alignment vertical="center"/>
    </xf>
    <xf numFmtId="0" fontId="8" fillId="2" borderId="22" xfId="0" applyFont="1" applyFill="1" applyBorder="1" applyAlignment="1">
      <alignment horizontal="center"/>
    </xf>
    <xf numFmtId="1" fontId="8" fillId="3" borderId="1" xfId="0" applyNumberFormat="1" applyFont="1" applyFill="1" applyBorder="1" applyAlignment="1">
      <alignment horizontal="center"/>
    </xf>
    <xf numFmtId="0" fontId="8" fillId="3" borderId="6" xfId="0" applyFont="1" applyFill="1" applyBorder="1" applyAlignment="1">
      <alignment horizontal="center"/>
    </xf>
    <xf numFmtId="1" fontId="8" fillId="3" borderId="4" xfId="0" applyNumberFormat="1" applyFont="1" applyFill="1" applyBorder="1" applyAlignment="1">
      <alignment horizontal="center"/>
    </xf>
    <xf numFmtId="0" fontId="7" fillId="3" borderId="0" xfId="0" applyFont="1" applyFill="1" applyBorder="1" applyAlignment="1">
      <alignment horizontal="center"/>
    </xf>
    <xf numFmtId="1" fontId="7" fillId="3" borderId="1" xfId="0" applyNumberFormat="1" applyFont="1" applyFill="1" applyBorder="1" applyAlignment="1">
      <alignment horizontal="center"/>
    </xf>
    <xf numFmtId="0" fontId="7" fillId="3" borderId="9" xfId="0" applyFont="1" applyFill="1" applyBorder="1"/>
    <xf numFmtId="0" fontId="7" fillId="3" borderId="16" xfId="0" applyFont="1" applyFill="1" applyBorder="1"/>
    <xf numFmtId="0" fontId="7" fillId="3" borderId="17" xfId="0" applyFont="1" applyFill="1" applyBorder="1"/>
    <xf numFmtId="0" fontId="7" fillId="3" borderId="16" xfId="0" applyFont="1" applyFill="1" applyBorder="1" applyAlignment="1">
      <alignment horizontal="center"/>
    </xf>
    <xf numFmtId="9" fontId="7" fillId="0" borderId="0" xfId="0" applyNumberFormat="1" applyFont="1" applyFill="1" applyBorder="1" applyAlignment="1">
      <alignment horizontal="left"/>
    </xf>
    <xf numFmtId="0" fontId="7" fillId="0" borderId="0" xfId="0" applyFont="1" applyBorder="1" applyAlignment="1">
      <alignment horizontal="right"/>
    </xf>
    <xf numFmtId="2" fontId="7" fillId="0" borderId="0" xfId="0" applyNumberFormat="1" applyFont="1" applyFill="1" applyBorder="1" applyAlignment="1">
      <alignment horizontal="center"/>
    </xf>
    <xf numFmtId="9" fontId="8" fillId="0" borderId="0" xfId="2" applyFont="1" applyFill="1" applyBorder="1" applyAlignment="1">
      <alignment horizontal="center"/>
    </xf>
    <xf numFmtId="1" fontId="8" fillId="0" borderId="0" xfId="0" applyNumberFormat="1" applyFont="1" applyFill="1" applyBorder="1" applyAlignment="1">
      <alignment horizontal="center"/>
    </xf>
    <xf numFmtId="166" fontId="0" fillId="0" borderId="0" xfId="0" applyNumberFormat="1" applyFont="1" applyBorder="1" applyAlignment="1">
      <alignment horizontal="center"/>
    </xf>
    <xf numFmtId="1" fontId="0" fillId="0" borderId="0" xfId="1" applyNumberFormat="1" applyFont="1" applyBorder="1" applyAlignment="1">
      <alignment horizontal="center"/>
    </xf>
    <xf numFmtId="2" fontId="0" fillId="0" borderId="0" xfId="1" applyNumberFormat="1" applyFont="1" applyBorder="1" applyAlignment="1">
      <alignment horizontal="center"/>
    </xf>
    <xf numFmtId="164" fontId="5" fillId="5" borderId="20" xfId="1" applyNumberFormat="1" applyFont="1" applyFill="1" applyBorder="1"/>
    <xf numFmtId="164" fontId="5" fillId="5" borderId="16" xfId="1" applyNumberFormat="1" applyFont="1" applyFill="1" applyBorder="1"/>
    <xf numFmtId="164" fontId="5" fillId="5" borderId="0" xfId="1" applyNumberFormat="1" applyFont="1" applyFill="1" applyBorder="1"/>
    <xf numFmtId="164" fontId="7" fillId="9" borderId="13" xfId="1" applyNumberFormat="1" applyFont="1" applyFill="1" applyBorder="1"/>
    <xf numFmtId="0" fontId="0" fillId="0" borderId="16" xfId="0" applyFont="1" applyBorder="1" applyAlignment="1">
      <alignment horizontal="center"/>
    </xf>
    <xf numFmtId="1" fontId="5" fillId="0" borderId="26" xfId="0" applyNumberFormat="1" applyFont="1" applyBorder="1"/>
    <xf numFmtId="0" fontId="5" fillId="0" borderId="35" xfId="0" applyFont="1" applyFill="1" applyBorder="1"/>
    <xf numFmtId="0" fontId="5" fillId="0" borderId="34" xfId="0" applyFont="1" applyBorder="1"/>
    <xf numFmtId="1" fontId="5" fillId="0" borderId="34" xfId="0" applyNumberFormat="1" applyFont="1" applyBorder="1"/>
    <xf numFmtId="166" fontId="5" fillId="0" borderId="34" xfId="0" applyNumberFormat="1" applyFont="1" applyBorder="1"/>
    <xf numFmtId="0" fontId="5" fillId="0" borderId="34" xfId="0" applyFont="1" applyFill="1" applyBorder="1"/>
    <xf numFmtId="44" fontId="0" fillId="0" borderId="0" xfId="0" applyNumberFormat="1" applyFont="1" applyBorder="1" applyAlignment="1">
      <alignment horizontal="center" vertical="center"/>
    </xf>
    <xf numFmtId="0" fontId="0" fillId="0" borderId="20" xfId="0" applyFont="1" applyBorder="1" applyAlignment="1">
      <alignment vertical="center"/>
    </xf>
    <xf numFmtId="44" fontId="5" fillId="0" borderId="20" xfId="0" applyNumberFormat="1" applyFont="1" applyBorder="1" applyAlignment="1">
      <alignment vertical="center"/>
    </xf>
    <xf numFmtId="44" fontId="5" fillId="0" borderId="20" xfId="0" applyNumberFormat="1" applyFont="1" applyBorder="1" applyAlignment="1">
      <alignment horizontal="center"/>
    </xf>
    <xf numFmtId="0" fontId="0" fillId="0" borderId="0" xfId="0" applyFont="1" applyFill="1" applyBorder="1" applyAlignment="1">
      <alignment horizontal="center" vertical="center" wrapText="1"/>
    </xf>
    <xf numFmtId="0" fontId="15" fillId="11" borderId="0" xfId="0" applyFont="1" applyFill="1" applyBorder="1"/>
    <xf numFmtId="0" fontId="12" fillId="11" borderId="0" xfId="0" applyFont="1" applyFill="1" applyBorder="1"/>
    <xf numFmtId="164" fontId="12" fillId="11" borderId="0" xfId="0" applyNumberFormat="1" applyFont="1" applyFill="1" applyBorder="1"/>
    <xf numFmtId="0" fontId="13" fillId="11" borderId="0" xfId="0" applyFont="1" applyFill="1" applyBorder="1"/>
    <xf numFmtId="164" fontId="13" fillId="11" borderId="0" xfId="0" applyNumberFormat="1" applyFont="1" applyFill="1" applyBorder="1"/>
    <xf numFmtId="0" fontId="15" fillId="11" borderId="0" xfId="0" applyFont="1" applyFill="1"/>
    <xf numFmtId="44" fontId="12" fillId="11" borderId="0" xfId="0" applyNumberFormat="1" applyFont="1" applyFill="1" applyBorder="1"/>
    <xf numFmtId="0" fontId="14" fillId="11" borderId="0" xfId="0" applyFont="1" applyFill="1" applyBorder="1"/>
    <xf numFmtId="44" fontId="15" fillId="11" borderId="0" xfId="0" applyNumberFormat="1" applyFont="1" applyFill="1" applyBorder="1"/>
    <xf numFmtId="0" fontId="5" fillId="11" borderId="0" xfId="0" applyFont="1" applyFill="1"/>
    <xf numFmtId="0" fontId="5" fillId="11" borderId="0" xfId="0" applyFont="1" applyFill="1" applyBorder="1"/>
    <xf numFmtId="164" fontId="7" fillId="11" borderId="0" xfId="0" applyNumberFormat="1" applyFont="1" applyFill="1" applyBorder="1"/>
    <xf numFmtId="0" fontId="0" fillId="11" borderId="0" xfId="0" applyFont="1" applyFill="1" applyBorder="1"/>
    <xf numFmtId="0" fontId="5" fillId="11" borderId="2" xfId="0" applyFont="1" applyFill="1" applyBorder="1"/>
    <xf numFmtId="0" fontId="5" fillId="11" borderId="3" xfId="0" applyFont="1" applyFill="1" applyBorder="1"/>
    <xf numFmtId="0" fontId="5" fillId="11" borderId="21" xfId="0" applyFont="1" applyFill="1" applyBorder="1"/>
    <xf numFmtId="44" fontId="5" fillId="11" borderId="0" xfId="1" applyFont="1" applyFill="1" applyBorder="1"/>
    <xf numFmtId="0" fontId="5" fillId="11" borderId="1" xfId="0" applyFont="1" applyFill="1" applyBorder="1"/>
    <xf numFmtId="0" fontId="0" fillId="11" borderId="16" xfId="0" applyFont="1" applyFill="1" applyBorder="1"/>
    <xf numFmtId="44" fontId="5" fillId="11" borderId="16" xfId="1" applyFont="1" applyFill="1" applyBorder="1"/>
    <xf numFmtId="0" fontId="5" fillId="11" borderId="17" xfId="0" applyFont="1" applyFill="1" applyBorder="1"/>
    <xf numFmtId="0" fontId="0" fillId="11" borderId="0" xfId="0" applyFill="1"/>
    <xf numFmtId="44" fontId="5" fillId="11" borderId="0" xfId="0" applyNumberFormat="1" applyFont="1" applyFill="1" applyBorder="1"/>
    <xf numFmtId="44" fontId="5" fillId="11" borderId="0" xfId="0" applyNumberFormat="1" applyFont="1" applyFill="1"/>
    <xf numFmtId="0" fontId="0" fillId="4" borderId="3" xfId="0" applyFill="1" applyBorder="1"/>
    <xf numFmtId="0" fontId="0" fillId="4" borderId="21" xfId="0" applyFill="1" applyBorder="1"/>
    <xf numFmtId="0" fontId="0" fillId="4" borderId="22" xfId="0" applyFill="1" applyBorder="1"/>
    <xf numFmtId="0" fontId="0" fillId="4" borderId="0" xfId="0" applyFill="1" applyBorder="1"/>
    <xf numFmtId="0" fontId="0" fillId="4" borderId="1" xfId="0" applyFill="1" applyBorder="1"/>
    <xf numFmtId="0" fontId="5" fillId="4" borderId="22" xfId="0" applyFont="1" applyFill="1" applyBorder="1"/>
    <xf numFmtId="0" fontId="5" fillId="4" borderId="9" xfId="0" applyFont="1" applyFill="1" applyBorder="1"/>
    <xf numFmtId="0" fontId="0" fillId="4" borderId="16" xfId="0" applyFill="1" applyBorder="1"/>
    <xf numFmtId="0" fontId="0" fillId="4" borderId="17" xfId="0" applyFill="1" applyBorder="1"/>
    <xf numFmtId="0" fontId="5" fillId="4" borderId="2" xfId="0" applyFont="1" applyFill="1" applyBorder="1"/>
    <xf numFmtId="0" fontId="5" fillId="9" borderId="13" xfId="0" applyFont="1" applyFill="1" applyBorder="1" applyAlignment="1">
      <alignment horizontal="center" vertical="center"/>
    </xf>
    <xf numFmtId="44" fontId="5" fillId="9" borderId="14" xfId="0" applyNumberFormat="1" applyFont="1" applyFill="1" applyBorder="1" applyAlignment="1">
      <alignment horizontal="center" vertical="center"/>
    </xf>
    <xf numFmtId="0" fontId="5" fillId="9" borderId="12" xfId="0" applyFont="1" applyFill="1" applyBorder="1" applyAlignment="1">
      <alignment horizontal="left" vertical="center"/>
    </xf>
    <xf numFmtId="44" fontId="5" fillId="9" borderId="12" xfId="1" applyFont="1" applyFill="1" applyBorder="1" applyAlignment="1">
      <alignment vertical="center"/>
    </xf>
    <xf numFmtId="44" fontId="5" fillId="9" borderId="13" xfId="1" applyFont="1" applyFill="1" applyBorder="1" applyAlignment="1">
      <alignment vertical="center"/>
    </xf>
    <xf numFmtId="44" fontId="5" fillId="9" borderId="14" xfId="1" applyFont="1" applyFill="1" applyBorder="1" applyAlignment="1">
      <alignment vertical="center"/>
    </xf>
    <xf numFmtId="0" fontId="5" fillId="12" borderId="0" xfId="0" applyFont="1" applyFill="1" applyBorder="1"/>
    <xf numFmtId="0" fontId="0" fillId="12" borderId="0" xfId="0" applyFill="1" applyBorder="1"/>
    <xf numFmtId="0" fontId="18" fillId="0" borderId="0" xfId="0" applyFont="1" applyFill="1" applyBorder="1"/>
    <xf numFmtId="0" fontId="18" fillId="0" borderId="0" xfId="0" applyFont="1"/>
    <xf numFmtId="9" fontId="18" fillId="0" borderId="0" xfId="2" applyFont="1"/>
    <xf numFmtId="44" fontId="7" fillId="5" borderId="0" xfId="0" applyNumberFormat="1" applyFont="1" applyFill="1" applyBorder="1"/>
    <xf numFmtId="0" fontId="19" fillId="7" borderId="0" xfId="0" applyFont="1" applyFill="1"/>
    <xf numFmtId="0" fontId="12" fillId="7" borderId="0" xfId="0" applyFont="1" applyFill="1"/>
    <xf numFmtId="0" fontId="13" fillId="7" borderId="0" xfId="0" applyFont="1" applyFill="1"/>
    <xf numFmtId="44" fontId="12" fillId="7" borderId="0" xfId="1" applyFont="1" applyFill="1" applyBorder="1"/>
    <xf numFmtId="44" fontId="16" fillId="7" borderId="0" xfId="0" applyNumberFormat="1" applyFont="1" applyFill="1"/>
    <xf numFmtId="0" fontId="16" fillId="7" borderId="0" xfId="0" applyFont="1" applyFill="1"/>
    <xf numFmtId="44" fontId="19" fillId="7" borderId="0" xfId="1" applyFont="1" applyFill="1" applyBorder="1"/>
    <xf numFmtId="44" fontId="12" fillId="7" borderId="0" xfId="0" applyNumberFormat="1" applyFont="1" applyFill="1"/>
    <xf numFmtId="44" fontId="13" fillId="7" borderId="0" xfId="1" applyFont="1" applyFill="1" applyBorder="1"/>
    <xf numFmtId="44" fontId="15" fillId="7" borderId="0" xfId="0" applyNumberFormat="1" applyFont="1" applyFill="1"/>
    <xf numFmtId="164" fontId="13" fillId="7" borderId="0" xfId="0" applyNumberFormat="1" applyFont="1" applyFill="1"/>
    <xf numFmtId="0" fontId="15" fillId="7" borderId="0" xfId="0" applyFont="1" applyFill="1"/>
    <xf numFmtId="8" fontId="15" fillId="7" borderId="0" xfId="0" applyNumberFormat="1" applyFont="1" applyFill="1"/>
    <xf numFmtId="44" fontId="19" fillId="7" borderId="0" xfId="0" applyNumberFormat="1" applyFont="1" applyFill="1"/>
    <xf numFmtId="0" fontId="20" fillId="7" borderId="0" xfId="0" applyFont="1" applyFill="1" applyAlignment="1">
      <alignment horizontal="left"/>
    </xf>
    <xf numFmtId="6" fontId="15" fillId="7" borderId="0" xfId="0" applyNumberFormat="1" applyFont="1" applyFill="1"/>
    <xf numFmtId="44" fontId="15" fillId="7" borderId="0" xfId="1" applyFont="1" applyFill="1" applyBorder="1"/>
    <xf numFmtId="44" fontId="13" fillId="7" borderId="0" xfId="0" applyNumberFormat="1" applyFont="1" applyFill="1"/>
    <xf numFmtId="164" fontId="12" fillId="7" borderId="0" xfId="0" applyNumberFormat="1" applyFont="1" applyFill="1"/>
    <xf numFmtId="44" fontId="14" fillId="0" borderId="0" xfId="0" applyNumberFormat="1" applyFont="1"/>
    <xf numFmtId="44" fontId="14" fillId="0" borderId="0" xfId="1" applyFont="1"/>
    <xf numFmtId="0" fontId="6" fillId="2" borderId="0" xfId="0" applyFont="1" applyFill="1" applyProtection="1">
      <protection locked="0"/>
    </xf>
    <xf numFmtId="0" fontId="2" fillId="7" borderId="0" xfId="0" applyFont="1" applyFill="1" applyBorder="1" applyProtection="1">
      <protection locked="0"/>
    </xf>
    <xf numFmtId="0" fontId="6" fillId="2" borderId="10" xfId="0" applyFont="1" applyFill="1" applyBorder="1" applyProtection="1">
      <protection locked="0"/>
    </xf>
    <xf numFmtId="0" fontId="6" fillId="2" borderId="0" xfId="0" applyFont="1" applyFill="1" applyBorder="1" applyProtection="1">
      <protection locked="0"/>
    </xf>
    <xf numFmtId="0" fontId="0" fillId="2" borderId="0" xfId="0" applyFill="1" applyProtection="1">
      <protection locked="0"/>
    </xf>
    <xf numFmtId="0" fontId="0" fillId="2" borderId="0" xfId="0" applyFill="1" applyBorder="1" applyProtection="1">
      <protection locked="0"/>
    </xf>
    <xf numFmtId="9" fontId="14" fillId="2" borderId="0" xfId="2" applyFont="1" applyFill="1" applyAlignment="1" applyProtection="1">
      <alignment horizontal="center"/>
      <protection locked="0"/>
    </xf>
    <xf numFmtId="0" fontId="17" fillId="2" borderId="0" xfId="0" applyFont="1" applyFill="1" applyBorder="1" applyProtection="1">
      <protection locked="0"/>
    </xf>
    <xf numFmtId="0" fontId="13" fillId="6" borderId="0" xfId="0" applyFont="1" applyFill="1" applyBorder="1" applyAlignment="1" applyProtection="1">
      <alignment horizontal="center"/>
      <protection locked="0"/>
    </xf>
    <xf numFmtId="1" fontId="13" fillId="6" borderId="0" xfId="0" applyNumberFormat="1" applyFont="1" applyFill="1" applyBorder="1" applyAlignment="1" applyProtection="1">
      <alignment horizontal="center" vertical="center" wrapText="1"/>
      <protection locked="0"/>
    </xf>
    <xf numFmtId="9" fontId="13" fillId="2" borderId="0" xfId="0" applyNumberFormat="1" applyFont="1" applyFill="1" applyBorder="1" applyProtection="1">
      <protection locked="0"/>
    </xf>
    <xf numFmtId="0" fontId="13" fillId="6" borderId="0" xfId="0" applyFont="1" applyFill="1" applyBorder="1" applyProtection="1">
      <protection locked="0"/>
    </xf>
    <xf numFmtId="0" fontId="13" fillId="6" borderId="16" xfId="0" applyFont="1" applyFill="1" applyBorder="1" applyProtection="1">
      <protection locked="0"/>
    </xf>
    <xf numFmtId="0" fontId="17" fillId="2" borderId="1" xfId="0" applyFont="1" applyFill="1" applyBorder="1" applyAlignment="1" applyProtection="1">
      <alignment horizontal="center"/>
      <protection locked="0"/>
    </xf>
    <xf numFmtId="0" fontId="17" fillId="2" borderId="16" xfId="0" applyFont="1" applyFill="1" applyBorder="1" applyProtection="1">
      <protection locked="0"/>
    </xf>
    <xf numFmtId="0" fontId="17" fillId="2" borderId="17" xfId="0" applyFont="1" applyFill="1" applyBorder="1" applyAlignment="1" applyProtection="1">
      <alignment horizontal="center"/>
      <protection locked="0"/>
    </xf>
    <xf numFmtId="0" fontId="6" fillId="2" borderId="22" xfId="0" applyFont="1" applyFill="1" applyBorder="1" applyAlignment="1" applyProtection="1">
      <alignment horizontal="center"/>
      <protection locked="0"/>
    </xf>
    <xf numFmtId="44" fontId="0" fillId="2" borderId="0" xfId="1" applyFont="1" applyFill="1" applyBorder="1" applyProtection="1">
      <protection locked="0"/>
    </xf>
    <xf numFmtId="9" fontId="0" fillId="2" borderId="0" xfId="2" applyFont="1" applyFill="1" applyBorder="1" applyAlignment="1" applyProtection="1">
      <alignment horizontal="center"/>
      <protection locked="0"/>
    </xf>
    <xf numFmtId="44" fontId="0" fillId="2" borderId="0" xfId="1" applyFont="1" applyFill="1" applyBorder="1" applyAlignment="1" applyProtection="1">
      <protection locked="0"/>
    </xf>
    <xf numFmtId="44" fontId="0" fillId="0" borderId="36" xfId="1" applyFont="1" applyBorder="1"/>
    <xf numFmtId="0" fontId="13" fillId="2" borderId="0" xfId="0" applyFont="1" applyFill="1" applyBorder="1" applyAlignment="1">
      <alignment horizontal="left"/>
    </xf>
    <xf numFmtId="2" fontId="8" fillId="0" borderId="16" xfId="1" applyNumberFormat="1" applyFont="1" applyBorder="1" applyAlignment="1">
      <alignment horizontal="center"/>
    </xf>
    <xf numFmtId="0" fontId="5" fillId="11" borderId="22" xfId="0" applyFont="1" applyFill="1" applyBorder="1"/>
    <xf numFmtId="0" fontId="5" fillId="11" borderId="9" xfId="0" applyFont="1" applyFill="1" applyBorder="1"/>
    <xf numFmtId="0" fontId="7" fillId="9" borderId="22" xfId="0" applyFont="1" applyFill="1" applyBorder="1"/>
    <xf numFmtId="6" fontId="5" fillId="9" borderId="0" xfId="0" applyNumberFormat="1" applyFont="1" applyFill="1" applyBorder="1"/>
    <xf numFmtId="0" fontId="5" fillId="9" borderId="1" xfId="0" applyFont="1" applyFill="1" applyBorder="1"/>
    <xf numFmtId="6" fontId="5" fillId="0" borderId="0" xfId="0" applyNumberFormat="1" applyFont="1" applyBorder="1"/>
    <xf numFmtId="164" fontId="5" fillId="9" borderId="0" xfId="1" applyNumberFormat="1" applyFont="1" applyFill="1" applyBorder="1"/>
    <xf numFmtId="0" fontId="5" fillId="0" borderId="16" xfId="0" applyFont="1" applyBorder="1"/>
    <xf numFmtId="44" fontId="5" fillId="9" borderId="16" xfId="1" applyFont="1" applyFill="1" applyBorder="1"/>
    <xf numFmtId="0" fontId="5" fillId="9" borderId="17" xfId="0" applyFont="1" applyFill="1" applyBorder="1"/>
    <xf numFmtId="0" fontId="7" fillId="0" borderId="3" xfId="0" applyFont="1" applyFill="1" applyBorder="1"/>
    <xf numFmtId="0" fontId="4" fillId="7" borderId="0" xfId="0" applyFont="1" applyFill="1" applyBorder="1" applyAlignment="1">
      <alignment vertical="center" wrapText="1"/>
    </xf>
    <xf numFmtId="0" fontId="6" fillId="7" borderId="0" xfId="0" applyFont="1" applyFill="1" applyBorder="1" applyProtection="1">
      <protection locked="0"/>
    </xf>
    <xf numFmtId="44" fontId="0" fillId="7" borderId="0" xfId="1" applyFont="1" applyFill="1" applyBorder="1"/>
    <xf numFmtId="0" fontId="0" fillId="7" borderId="0" xfId="0" applyFill="1" applyBorder="1" applyProtection="1">
      <protection locked="0"/>
    </xf>
    <xf numFmtId="0" fontId="0" fillId="7" borderId="0" xfId="0" applyFill="1" applyBorder="1"/>
    <xf numFmtId="2" fontId="0" fillId="7" borderId="0" xfId="0" applyNumberFormat="1" applyFill="1" applyBorder="1"/>
    <xf numFmtId="0" fontId="0" fillId="7" borderId="0" xfId="0" applyFill="1" applyProtection="1">
      <protection locked="0"/>
    </xf>
    <xf numFmtId="44" fontId="0" fillId="7" borderId="0" xfId="1" applyFont="1" applyFill="1"/>
    <xf numFmtId="44" fontId="0" fillId="7" borderId="0" xfId="1" applyFont="1" applyFill="1" applyProtection="1">
      <protection locked="0"/>
    </xf>
    <xf numFmtId="169" fontId="0" fillId="2" borderId="8" xfId="0" applyNumberFormat="1" applyFill="1" applyBorder="1" applyProtection="1">
      <protection locked="0"/>
    </xf>
    <xf numFmtId="44" fontId="0" fillId="2" borderId="29" xfId="1" applyFont="1" applyFill="1" applyBorder="1" applyProtection="1">
      <protection locked="0"/>
    </xf>
    <xf numFmtId="44" fontId="0" fillId="2" borderId="30" xfId="1" applyFont="1" applyFill="1" applyBorder="1" applyProtection="1">
      <protection locked="0"/>
    </xf>
    <xf numFmtId="44" fontId="2" fillId="7" borderId="0" xfId="1" applyFont="1" applyFill="1" applyBorder="1" applyProtection="1">
      <protection locked="0"/>
    </xf>
    <xf numFmtId="44" fontId="0" fillId="7" borderId="0" xfId="1" applyFont="1" applyFill="1" applyBorder="1" applyProtection="1">
      <protection locked="0"/>
    </xf>
    <xf numFmtId="164" fontId="0" fillId="2" borderId="30" xfId="1" applyNumberFormat="1" applyFont="1" applyFill="1" applyBorder="1" applyProtection="1">
      <protection locked="0"/>
    </xf>
    <xf numFmtId="44" fontId="0" fillId="2" borderId="8" xfId="1" applyFont="1" applyFill="1" applyBorder="1" applyProtection="1">
      <protection locked="0"/>
    </xf>
    <xf numFmtId="44" fontId="0" fillId="7" borderId="8" xfId="1" applyFont="1" applyFill="1" applyBorder="1" applyProtection="1">
      <protection locked="0"/>
    </xf>
    <xf numFmtId="0" fontId="14" fillId="0" borderId="0" xfId="0" applyFont="1" applyFill="1" applyAlignment="1">
      <alignment horizontal="center" wrapText="1"/>
    </xf>
    <xf numFmtId="44" fontId="0" fillId="3" borderId="29" xfId="1" applyFont="1" applyFill="1" applyBorder="1" applyProtection="1"/>
    <xf numFmtId="44" fontId="0" fillId="3" borderId="8" xfId="1" applyFont="1" applyFill="1" applyBorder="1" applyProtection="1"/>
    <xf numFmtId="44" fontId="0" fillId="3" borderId="30" xfId="1" applyFont="1" applyFill="1" applyBorder="1" applyProtection="1"/>
    <xf numFmtId="0" fontId="0" fillId="0" borderId="0" xfId="0" applyFont="1" applyBorder="1" applyAlignment="1">
      <alignment horizontal="center" wrapText="1"/>
    </xf>
    <xf numFmtId="0" fontId="7" fillId="9" borderId="37" xfId="0" applyFont="1" applyFill="1" applyBorder="1"/>
    <xf numFmtId="0" fontId="0" fillId="0" borderId="38" xfId="0" applyFont="1" applyBorder="1"/>
    <xf numFmtId="0" fontId="0" fillId="0" borderId="39" xfId="0" applyFont="1" applyBorder="1"/>
    <xf numFmtId="0" fontId="7" fillId="5" borderId="40" xfId="0" applyFont="1" applyFill="1" applyBorder="1"/>
    <xf numFmtId="0" fontId="8" fillId="0" borderId="41" xfId="0" applyFont="1" applyBorder="1"/>
    <xf numFmtId="0" fontId="8" fillId="0" borderId="42" xfId="0" applyFont="1" applyBorder="1"/>
    <xf numFmtId="9" fontId="8" fillId="0" borderId="43" xfId="2" applyFont="1" applyFill="1" applyBorder="1"/>
    <xf numFmtId="44" fontId="8" fillId="0" borderId="43" xfId="1" applyFont="1" applyFill="1" applyBorder="1"/>
    <xf numFmtId="0" fontId="8" fillId="0" borderId="44" xfId="0" applyFont="1" applyBorder="1"/>
    <xf numFmtId="0" fontId="7" fillId="5" borderId="45" xfId="0" applyFont="1" applyFill="1" applyBorder="1"/>
    <xf numFmtId="0" fontId="8" fillId="0" borderId="43" xfId="0" applyFont="1" applyBorder="1"/>
    <xf numFmtId="0" fontId="7" fillId="8" borderId="42" xfId="0" applyFont="1" applyFill="1" applyBorder="1"/>
    <xf numFmtId="0" fontId="0" fillId="0" borderId="43" xfId="0" applyFont="1" applyBorder="1"/>
    <xf numFmtId="0" fontId="8" fillId="0" borderId="46" xfId="0" applyFont="1" applyBorder="1"/>
    <xf numFmtId="0" fontId="5" fillId="8" borderId="47" xfId="0" applyFont="1" applyFill="1" applyBorder="1"/>
    <xf numFmtId="0" fontId="0" fillId="0" borderId="42" xfId="0" applyFont="1" applyBorder="1"/>
    <xf numFmtId="0" fontId="0" fillId="0" borderId="46" xfId="0" applyFont="1" applyBorder="1"/>
    <xf numFmtId="0" fontId="5" fillId="8" borderId="43" xfId="0" applyFont="1" applyFill="1" applyBorder="1"/>
    <xf numFmtId="164" fontId="7" fillId="0" borderId="42" xfId="0" applyNumberFormat="1" applyFont="1" applyBorder="1" applyAlignment="1">
      <alignment vertical="center"/>
    </xf>
    <xf numFmtId="0" fontId="5" fillId="0" borderId="43" xfId="0" applyFont="1" applyFill="1" applyBorder="1"/>
    <xf numFmtId="0" fontId="8" fillId="0" borderId="48" xfId="0" applyFont="1" applyBorder="1"/>
    <xf numFmtId="0" fontId="7" fillId="5" borderId="49" xfId="0" applyFont="1" applyFill="1" applyBorder="1"/>
    <xf numFmtId="0" fontId="0" fillId="0" borderId="44" xfId="0" applyFont="1" applyBorder="1"/>
    <xf numFmtId="0" fontId="0" fillId="0" borderId="45" xfId="0" applyFont="1" applyBorder="1"/>
    <xf numFmtId="0" fontId="7" fillId="0" borderId="42" xfId="0" applyFont="1" applyBorder="1"/>
    <xf numFmtId="0" fontId="5" fillId="5" borderId="45" xfId="0" applyFont="1" applyFill="1" applyBorder="1"/>
    <xf numFmtId="0" fontId="0" fillId="0" borderId="42" xfId="0" applyFont="1" applyBorder="1" applyAlignment="1"/>
    <xf numFmtId="0" fontId="0" fillId="0" borderId="43" xfId="0" applyFont="1" applyBorder="1" applyAlignment="1"/>
    <xf numFmtId="0" fontId="0" fillId="0" borderId="50" xfId="0" applyFont="1" applyBorder="1" applyAlignment="1">
      <alignment vertical="center" wrapText="1"/>
    </xf>
    <xf numFmtId="9" fontId="0" fillId="0" borderId="43" xfId="2" applyFont="1" applyBorder="1"/>
    <xf numFmtId="0" fontId="5" fillId="0" borderId="50" xfId="0" applyFont="1" applyBorder="1"/>
    <xf numFmtId="0" fontId="5" fillId="0" borderId="42" xfId="0" applyFont="1" applyBorder="1"/>
    <xf numFmtId="0" fontId="5" fillId="0" borderId="51" xfId="0" applyFont="1" applyFill="1" applyBorder="1"/>
    <xf numFmtId="0" fontId="0" fillId="0" borderId="42" xfId="0" applyFont="1" applyBorder="1" applyAlignment="1">
      <alignment vertical="center" wrapText="1"/>
    </xf>
    <xf numFmtId="0" fontId="5" fillId="5" borderId="43" xfId="0" applyFont="1" applyFill="1" applyBorder="1"/>
    <xf numFmtId="0" fontId="8" fillId="0" borderId="53" xfId="0" applyFont="1" applyBorder="1"/>
    <xf numFmtId="0" fontId="0" fillId="0" borderId="53" xfId="0" applyFont="1" applyBorder="1"/>
    <xf numFmtId="0" fontId="7" fillId="9" borderId="55" xfId="0" applyFont="1" applyFill="1" applyBorder="1"/>
    <xf numFmtId="0" fontId="7" fillId="9" borderId="56" xfId="0" applyFont="1" applyFill="1" applyBorder="1"/>
    <xf numFmtId="164" fontId="7" fillId="9" borderId="56" xfId="0" applyNumberFormat="1" applyFont="1" applyFill="1" applyBorder="1"/>
    <xf numFmtId="0" fontId="7" fillId="9" borderId="57" xfId="0" applyFont="1" applyFill="1" applyBorder="1"/>
    <xf numFmtId="164" fontId="7" fillId="0" borderId="0" xfId="0" applyNumberFormat="1" applyFont="1" applyFill="1" applyBorder="1"/>
    <xf numFmtId="0" fontId="7" fillId="9" borderId="59" xfId="0" applyFont="1" applyFill="1" applyBorder="1"/>
    <xf numFmtId="44" fontId="7" fillId="9" borderId="58" xfId="1" applyFont="1" applyFill="1" applyBorder="1"/>
    <xf numFmtId="0" fontId="7" fillId="9" borderId="40" xfId="0" applyFont="1" applyFill="1" applyBorder="1"/>
    <xf numFmtId="0" fontId="7" fillId="0" borderId="42" xfId="0" applyFont="1" applyFill="1" applyBorder="1" applyAlignment="1">
      <alignment horizontal="left"/>
    </xf>
    <xf numFmtId="0" fontId="5" fillId="0" borderId="43" xfId="0" applyFont="1" applyBorder="1" applyAlignment="1">
      <alignment horizontal="center" vertical="center" wrapText="1"/>
    </xf>
    <xf numFmtId="0" fontId="7" fillId="9" borderId="52" xfId="0" applyFont="1" applyFill="1" applyBorder="1"/>
    <xf numFmtId="164" fontId="7" fillId="9" borderId="53" xfId="1" applyNumberFormat="1" applyFont="1" applyFill="1" applyBorder="1"/>
    <xf numFmtId="0" fontId="7" fillId="9" borderId="54" xfId="0" applyFont="1" applyFill="1" applyBorder="1"/>
    <xf numFmtId="164" fontId="7" fillId="9" borderId="56" xfId="1" applyNumberFormat="1" applyFont="1" applyFill="1" applyBorder="1"/>
    <xf numFmtId="44" fontId="7" fillId="9" borderId="55" xfId="0" applyNumberFormat="1" applyFont="1" applyFill="1" applyBorder="1"/>
    <xf numFmtId="44" fontId="7" fillId="9" borderId="55" xfId="1" applyFont="1" applyFill="1" applyBorder="1"/>
    <xf numFmtId="0" fontId="5" fillId="8" borderId="42" xfId="0" applyFont="1" applyFill="1" applyBorder="1" applyAlignment="1">
      <alignment horizontal="right"/>
    </xf>
    <xf numFmtId="0" fontId="5" fillId="8" borderId="0" xfId="0" applyFont="1" applyFill="1" applyBorder="1" applyAlignment="1">
      <alignment horizontal="right"/>
    </xf>
    <xf numFmtId="0" fontId="0" fillId="0" borderId="42" xfId="0" applyFont="1" applyBorder="1" applyAlignment="1">
      <alignment horizontal="right"/>
    </xf>
    <xf numFmtId="0" fontId="0" fillId="0" borderId="0" xfId="0" applyFont="1" applyBorder="1" applyAlignment="1">
      <alignment horizontal="right"/>
    </xf>
    <xf numFmtId="2" fontId="0" fillId="0" borderId="42" xfId="0" applyNumberFormat="1" applyFont="1" applyBorder="1" applyAlignment="1">
      <alignment horizontal="right"/>
    </xf>
    <xf numFmtId="2" fontId="0" fillId="0" borderId="0" xfId="0" applyNumberFormat="1" applyFont="1" applyBorder="1" applyAlignment="1">
      <alignment horizontal="right"/>
    </xf>
    <xf numFmtId="164" fontId="7" fillId="0" borderId="48" xfId="0" applyNumberFormat="1" applyFont="1" applyBorder="1" applyAlignment="1">
      <alignment horizontal="right" vertical="center"/>
    </xf>
    <xf numFmtId="164" fontId="7" fillId="0" borderId="20" xfId="0" applyNumberFormat="1" applyFont="1" applyBorder="1" applyAlignment="1">
      <alignment horizontal="right" vertical="center"/>
    </xf>
    <xf numFmtId="164" fontId="0" fillId="3" borderId="30" xfId="1" applyNumberFormat="1" applyFont="1" applyFill="1" applyBorder="1" applyProtection="1"/>
    <xf numFmtId="164" fontId="0" fillId="3" borderId="8" xfId="1" applyNumberFormat="1" applyFont="1" applyFill="1" applyBorder="1" applyProtection="1"/>
    <xf numFmtId="0" fontId="13" fillId="0" borderId="0" xfId="0" applyFont="1" applyBorder="1" applyAlignment="1">
      <alignment horizontal="center" wrapText="1"/>
    </xf>
    <xf numFmtId="0" fontId="14" fillId="0" borderId="0" xfId="0" applyFont="1" applyBorder="1" applyAlignment="1">
      <alignment horizontal="center" wrapText="1"/>
    </xf>
    <xf numFmtId="2" fontId="12" fillId="2" borderId="0" xfId="0" applyNumberFormat="1" applyFont="1" applyFill="1" applyBorder="1" applyAlignment="1" applyProtection="1">
      <alignment horizontal="center"/>
      <protection locked="0"/>
    </xf>
    <xf numFmtId="2" fontId="12" fillId="2" borderId="16" xfId="0" applyNumberFormat="1" applyFont="1" applyFill="1" applyBorder="1" applyAlignment="1" applyProtection="1">
      <alignment horizontal="center"/>
      <protection locked="0"/>
    </xf>
    <xf numFmtId="9" fontId="13" fillId="2" borderId="0" xfId="2" applyFont="1" applyFill="1" applyBorder="1" applyAlignment="1" applyProtection="1">
      <alignment horizontal="center"/>
      <protection locked="0"/>
    </xf>
    <xf numFmtId="1" fontId="13" fillId="0" borderId="0" xfId="0" applyNumberFormat="1" applyFont="1" applyFill="1" applyBorder="1" applyAlignment="1">
      <alignment horizontal="center"/>
    </xf>
    <xf numFmtId="9" fontId="13" fillId="7" borderId="16" xfId="2" applyFont="1" applyFill="1" applyBorder="1" applyAlignment="1">
      <alignment horizontal="center"/>
    </xf>
    <xf numFmtId="1" fontId="13" fillId="0" borderId="16" xfId="0" applyNumberFormat="1" applyFont="1" applyFill="1" applyBorder="1" applyAlignment="1">
      <alignment horizontal="center"/>
    </xf>
    <xf numFmtId="0" fontId="0" fillId="0" borderId="0" xfId="0" applyAlignment="1">
      <alignment horizontal="left" vertical="center" indent="5"/>
    </xf>
    <xf numFmtId="0" fontId="0" fillId="0" borderId="0" xfId="0" applyAlignment="1">
      <alignment vertical="center"/>
    </xf>
    <xf numFmtId="0" fontId="22" fillId="0" borderId="0" xfId="4" applyAlignment="1">
      <alignment vertical="center"/>
    </xf>
    <xf numFmtId="0" fontId="0" fillId="0" borderId="0" xfId="0" applyFont="1" applyAlignment="1">
      <alignment vertical="center"/>
    </xf>
    <xf numFmtId="0" fontId="23" fillId="0" borderId="0" xfId="0" applyFont="1"/>
    <xf numFmtId="164" fontId="0" fillId="2" borderId="8" xfId="1" applyNumberFormat="1" applyFont="1" applyFill="1" applyBorder="1" applyProtection="1">
      <protection locked="0"/>
    </xf>
    <xf numFmtId="44" fontId="0" fillId="2" borderId="8" xfId="1" applyFont="1" applyFill="1" applyBorder="1" applyAlignment="1" applyProtection="1">
      <alignment horizontal="right"/>
      <protection locked="0"/>
    </xf>
    <xf numFmtId="0" fontId="15" fillId="0" borderId="3"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Fill="1" applyProtection="1">
      <protection locked="0"/>
    </xf>
    <xf numFmtId="0" fontId="6" fillId="0" borderId="0" xfId="0" applyFont="1" applyFill="1" applyBorder="1" applyProtection="1">
      <protection locked="0"/>
    </xf>
    <xf numFmtId="0" fontId="0" fillId="0" borderId="0" xfId="0" applyFill="1" applyProtection="1">
      <protection locked="0"/>
    </xf>
    <xf numFmtId="44" fontId="0" fillId="0" borderId="0" xfId="1" applyFont="1" applyFill="1" applyBorder="1" applyProtection="1">
      <protection locked="0"/>
    </xf>
    <xf numFmtId="44" fontId="2" fillId="0" borderId="0" xfId="1" applyFont="1" applyFill="1" applyBorder="1" applyProtection="1"/>
    <xf numFmtId="44" fontId="0" fillId="0" borderId="0" xfId="1" applyFont="1" applyFill="1" applyBorder="1" applyProtection="1"/>
    <xf numFmtId="44" fontId="0" fillId="0" borderId="0" xfId="1" applyFont="1" applyFill="1" applyProtection="1"/>
    <xf numFmtId="44" fontId="0" fillId="0" borderId="8" xfId="1" applyFont="1" applyFill="1" applyBorder="1" applyProtection="1"/>
    <xf numFmtId="44" fontId="0" fillId="2" borderId="10" xfId="1" applyFont="1" applyFill="1" applyBorder="1" applyProtection="1">
      <protection locked="0"/>
    </xf>
    <xf numFmtId="0" fontId="0" fillId="0" borderId="0" xfId="0" applyFill="1"/>
    <xf numFmtId="0" fontId="0" fillId="0" borderId="3" xfId="0" applyBorder="1" applyAlignment="1">
      <alignment horizontal="center"/>
    </xf>
    <xf numFmtId="0" fontId="2" fillId="7" borderId="0" xfId="0" applyFont="1" applyFill="1" applyBorder="1" applyAlignment="1">
      <alignment horizontal="center"/>
    </xf>
    <xf numFmtId="0" fontId="0" fillId="7" borderId="0" xfId="0" applyFill="1" applyBorder="1" applyAlignment="1">
      <alignment horizontal="center"/>
    </xf>
    <xf numFmtId="0" fontId="0" fillId="0" borderId="0" xfId="0" applyFill="1" applyBorder="1" applyAlignment="1">
      <alignment horizontal="center"/>
    </xf>
    <xf numFmtId="0" fontId="0" fillId="7" borderId="0" xfId="0" applyFill="1" applyAlignment="1">
      <alignment horizontal="center"/>
    </xf>
    <xf numFmtId="0" fontId="0" fillId="0" borderId="0" xfId="0" applyAlignment="1">
      <alignment horizontal="center"/>
    </xf>
    <xf numFmtId="0" fontId="4" fillId="2" borderId="0" xfId="0" applyFont="1" applyFill="1" applyBorder="1" applyAlignment="1" applyProtection="1">
      <alignment vertical="center" wrapText="1"/>
      <protection locked="0"/>
    </xf>
    <xf numFmtId="0" fontId="0" fillId="2" borderId="10" xfId="0" applyFill="1" applyBorder="1" applyAlignment="1" applyProtection="1">
      <alignment horizontal="center"/>
      <protection locked="0"/>
    </xf>
    <xf numFmtId="0" fontId="0" fillId="0" borderId="0" xfId="0" applyFill="1" applyBorder="1" applyProtection="1"/>
    <xf numFmtId="0" fontId="2" fillId="0" borderId="0" xfId="0" applyFont="1" applyFill="1" applyBorder="1"/>
    <xf numFmtId="1" fontId="12" fillId="0" borderId="0" xfId="0" applyNumberFormat="1" applyFont="1" applyBorder="1" applyAlignment="1">
      <alignment horizontal="center"/>
    </xf>
    <xf numFmtId="0" fontId="0" fillId="9" borderId="12" xfId="0" applyFill="1" applyBorder="1" applyAlignment="1">
      <alignment horizontal="center"/>
    </xf>
    <xf numFmtId="0" fontId="0" fillId="9" borderId="13" xfId="0" applyFill="1" applyBorder="1" applyAlignment="1">
      <alignment horizont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1" xfId="0" applyBorder="1" applyAlignment="1">
      <alignment horizontal="center" wrapText="1"/>
    </xf>
    <xf numFmtId="0" fontId="0" fillId="0" borderId="5" xfId="0" applyBorder="1" applyAlignment="1">
      <alignment horizontal="center" wrapText="1"/>
    </xf>
    <xf numFmtId="44" fontId="0" fillId="0" borderId="11" xfId="1" applyFont="1" applyBorder="1" applyAlignment="1">
      <alignment horizontal="center"/>
    </xf>
    <xf numFmtId="44" fontId="0" fillId="0" borderId="5" xfId="1" applyFont="1" applyBorder="1" applyAlignment="1">
      <alignment horizont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wrapText="1"/>
    </xf>
    <xf numFmtId="0" fontId="0" fillId="3" borderId="19" xfId="0" applyFill="1" applyBorder="1" applyAlignment="1">
      <alignment horizontal="center" wrapText="1"/>
    </xf>
    <xf numFmtId="0" fontId="0" fillId="3" borderId="5" xfId="0" applyFill="1" applyBorder="1" applyAlignment="1">
      <alignment horizontal="center" wrapText="1"/>
    </xf>
    <xf numFmtId="0" fontId="0" fillId="0" borderId="19" xfId="0" applyBorder="1" applyAlignment="1">
      <alignment horizontal="center" wrapText="1"/>
    </xf>
    <xf numFmtId="0" fontId="0" fillId="0" borderId="12" xfId="0" applyBorder="1" applyAlignment="1">
      <alignment horizontal="center"/>
    </xf>
    <xf numFmtId="0" fontId="0" fillId="0" borderId="14" xfId="0" applyBorder="1" applyAlignment="1">
      <alignment horizontal="center"/>
    </xf>
    <xf numFmtId="0" fontId="0" fillId="0" borderId="16" xfId="0" applyBorder="1"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xf numFmtId="0" fontId="0" fillId="0" borderId="21" xfId="0" applyBorder="1" applyAlignment="1">
      <alignment horizontal="center" wrapText="1"/>
    </xf>
    <xf numFmtId="0" fontId="0" fillId="0" borderId="17" xfId="0" applyBorder="1" applyAlignment="1">
      <alignment horizontal="center" wrapText="1"/>
    </xf>
    <xf numFmtId="0" fontId="0" fillId="0" borderId="8" xfId="0" applyBorder="1" applyAlignment="1">
      <alignment horizontal="center" vertical="center" wrapText="1"/>
    </xf>
    <xf numFmtId="0" fontId="0" fillId="0" borderId="33" xfId="0" applyBorder="1" applyAlignment="1">
      <alignment horizontal="center" vertical="center" wrapText="1"/>
    </xf>
    <xf numFmtId="0" fontId="0" fillId="3" borderId="12" xfId="0" applyFill="1" applyBorder="1" applyAlignment="1">
      <alignment horizontal="center" wrapText="1"/>
    </xf>
    <xf numFmtId="0" fontId="0" fillId="3" borderId="14" xfId="0" applyFill="1" applyBorder="1" applyAlignment="1">
      <alignment horizontal="center" wrapText="1"/>
    </xf>
    <xf numFmtId="0" fontId="14" fillId="10" borderId="0" xfId="0" applyFont="1" applyFill="1" applyAlignment="1">
      <alignment horizontal="center" wrapText="1"/>
    </xf>
    <xf numFmtId="0" fontId="15" fillId="9" borderId="19" xfId="0" applyFont="1" applyFill="1" applyBorder="1" applyAlignment="1">
      <alignment horizontal="center" wrapText="1"/>
    </xf>
    <xf numFmtId="0" fontId="15" fillId="9" borderId="5" xfId="0" applyFont="1" applyFill="1" applyBorder="1" applyAlignment="1">
      <alignment horizontal="center" wrapText="1"/>
    </xf>
    <xf numFmtId="0" fontId="0" fillId="4" borderId="0" xfId="0" applyFont="1" applyFill="1" applyBorder="1" applyAlignment="1">
      <alignment horizontal="center" wrapText="1"/>
    </xf>
    <xf numFmtId="44" fontId="15" fillId="0" borderId="1" xfId="1" applyFont="1" applyFill="1" applyBorder="1" applyAlignment="1">
      <alignment horizontal="center" vertical="center"/>
    </xf>
    <xf numFmtId="44" fontId="15" fillId="0" borderId="17" xfId="1" applyFont="1" applyFill="1" applyBorder="1" applyAlignment="1">
      <alignment horizontal="center" vertical="center"/>
    </xf>
    <xf numFmtId="0" fontId="13" fillId="0" borderId="22" xfId="0" applyFont="1" applyFill="1" applyBorder="1" applyAlignment="1">
      <alignment horizontal="left"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5" fillId="0" borderId="1" xfId="0" applyFont="1" applyBorder="1" applyAlignment="1">
      <alignment horizontal="center" vertical="center"/>
    </xf>
    <xf numFmtId="44" fontId="7" fillId="0" borderId="43" xfId="1" applyFont="1" applyFill="1" applyBorder="1" applyAlignment="1">
      <alignment horizontal="center" vertical="center"/>
    </xf>
    <xf numFmtId="0" fontId="8" fillId="3"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0" xfId="0" applyFont="1" applyFill="1" applyBorder="1" applyAlignment="1">
      <alignment horizontal="center" vertical="center"/>
    </xf>
    <xf numFmtId="0" fontId="0" fillId="0" borderId="3" xfId="0" applyFont="1" applyBorder="1" applyAlignment="1">
      <alignment horizontal="center" wrapText="1"/>
    </xf>
    <xf numFmtId="0" fontId="0" fillId="0" borderId="0" xfId="0" applyFont="1" applyBorder="1" applyAlignment="1">
      <alignment horizontal="center" wrapText="1"/>
    </xf>
    <xf numFmtId="0" fontId="0" fillId="0" borderId="18" xfId="0" applyFont="1" applyBorder="1" applyAlignment="1">
      <alignment horizontal="center" vertical="center" wrapText="1"/>
    </xf>
    <xf numFmtId="0" fontId="0" fillId="0" borderId="35" xfId="0" applyFont="1" applyBorder="1" applyAlignment="1">
      <alignment horizontal="center" vertical="center" wrapText="1"/>
    </xf>
  </cellXfs>
  <cellStyles count="5">
    <cellStyle name="Komma" xfId="3" builtinId="3"/>
    <cellStyle name="Link" xfId="4" builtinId="8"/>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D$4" lockText="1"/>
</file>

<file path=xl/ctrlProps/ctrlProp10.xml><?xml version="1.0" encoding="utf-8"?>
<formControlPr xmlns="http://schemas.microsoft.com/office/spreadsheetml/2009/9/main" objectType="CheckBox" fmlaLink="$D$14" lockText="1"/>
</file>

<file path=xl/ctrlProps/ctrlProp100.xml><?xml version="1.0" encoding="utf-8"?>
<formControlPr xmlns="http://schemas.microsoft.com/office/spreadsheetml/2009/9/main" objectType="CheckBox" fmlaLink="$F$28" lockText="1"/>
</file>

<file path=xl/ctrlProps/ctrlProp101.xml><?xml version="1.0" encoding="utf-8"?>
<formControlPr xmlns="http://schemas.microsoft.com/office/spreadsheetml/2009/9/main" objectType="CheckBox" fmlaLink="$F$29" lockText="1"/>
</file>

<file path=xl/ctrlProps/ctrlProp102.xml><?xml version="1.0" encoding="utf-8"?>
<formControlPr xmlns="http://schemas.microsoft.com/office/spreadsheetml/2009/9/main" objectType="CheckBox" checked="Checked" fmlaLink="$F$30" lockText="1"/>
</file>

<file path=xl/ctrlProps/ctrlProp103.xml><?xml version="1.0" encoding="utf-8"?>
<formControlPr xmlns="http://schemas.microsoft.com/office/spreadsheetml/2009/9/main" objectType="CheckBox" fmlaLink="$F$31" lockText="1"/>
</file>

<file path=xl/ctrlProps/ctrlProp104.xml><?xml version="1.0" encoding="utf-8"?>
<formControlPr xmlns="http://schemas.microsoft.com/office/spreadsheetml/2009/9/main" objectType="CheckBox" checked="Checked" fmlaLink="$F$32" lockText="1"/>
</file>

<file path=xl/ctrlProps/ctrlProp105.xml><?xml version="1.0" encoding="utf-8"?>
<formControlPr xmlns="http://schemas.microsoft.com/office/spreadsheetml/2009/9/main" objectType="CheckBox" fmlaLink="$F$33" lockText="1"/>
</file>

<file path=xl/ctrlProps/ctrlProp106.xml><?xml version="1.0" encoding="utf-8"?>
<formControlPr xmlns="http://schemas.microsoft.com/office/spreadsheetml/2009/9/main" objectType="CheckBox" fmlaLink="$F$35" lockText="1"/>
</file>

<file path=xl/ctrlProps/ctrlProp107.xml><?xml version="1.0" encoding="utf-8"?>
<formControlPr xmlns="http://schemas.microsoft.com/office/spreadsheetml/2009/9/main" objectType="CheckBox" fmlaLink="$F$36" lockText="1"/>
</file>

<file path=xl/ctrlProps/ctrlProp108.xml><?xml version="1.0" encoding="utf-8"?>
<formControlPr xmlns="http://schemas.microsoft.com/office/spreadsheetml/2009/9/main" objectType="CheckBox" checked="Checked" fmlaLink="$F$37" lockText="1"/>
</file>

<file path=xl/ctrlProps/ctrlProp109.xml><?xml version="1.0" encoding="utf-8"?>
<formControlPr xmlns="http://schemas.microsoft.com/office/spreadsheetml/2009/9/main" objectType="CheckBox" fmlaLink="$F$38" lockText="1"/>
</file>

<file path=xl/ctrlProps/ctrlProp11.xml><?xml version="1.0" encoding="utf-8"?>
<formControlPr xmlns="http://schemas.microsoft.com/office/spreadsheetml/2009/9/main" objectType="CheckBox" fmlaLink="$D$15" lockText="1"/>
</file>

<file path=xl/ctrlProps/ctrlProp110.xml><?xml version="1.0" encoding="utf-8"?>
<formControlPr xmlns="http://schemas.microsoft.com/office/spreadsheetml/2009/9/main" objectType="CheckBox" fmlaLink="$F$40" lockText="1"/>
</file>

<file path=xl/ctrlProps/ctrlProp111.xml><?xml version="1.0" encoding="utf-8"?>
<formControlPr xmlns="http://schemas.microsoft.com/office/spreadsheetml/2009/9/main" objectType="CheckBox" fmlaLink="$F$41" lockText="1"/>
</file>

<file path=xl/ctrlProps/ctrlProp112.xml><?xml version="1.0" encoding="utf-8"?>
<formControlPr xmlns="http://schemas.microsoft.com/office/spreadsheetml/2009/9/main" objectType="CheckBox" fmlaLink="$F$42" lockText="1"/>
</file>

<file path=xl/ctrlProps/ctrlProp113.xml><?xml version="1.0" encoding="utf-8"?>
<formControlPr xmlns="http://schemas.microsoft.com/office/spreadsheetml/2009/9/main" objectType="CheckBox" fmlaLink="$F$43" lockText="1"/>
</file>

<file path=xl/ctrlProps/ctrlProp114.xml><?xml version="1.0" encoding="utf-8"?>
<formControlPr xmlns="http://schemas.microsoft.com/office/spreadsheetml/2009/9/main" objectType="CheckBox" fmlaLink="$F$44" lockText="1"/>
</file>

<file path=xl/ctrlProps/ctrlProp115.xml><?xml version="1.0" encoding="utf-8"?>
<formControlPr xmlns="http://schemas.microsoft.com/office/spreadsheetml/2009/9/main" objectType="CheckBox" checked="Checked" fmlaLink="$F$46" lockText="1"/>
</file>

<file path=xl/ctrlProps/ctrlProp116.xml><?xml version="1.0" encoding="utf-8"?>
<formControlPr xmlns="http://schemas.microsoft.com/office/spreadsheetml/2009/9/main" objectType="CheckBox" fmlaLink="$F$47" lockText="1"/>
</file>

<file path=xl/ctrlProps/ctrlProp117.xml><?xml version="1.0" encoding="utf-8"?>
<formControlPr xmlns="http://schemas.microsoft.com/office/spreadsheetml/2009/9/main" objectType="CheckBox" fmlaLink="$F$49" lockText="1"/>
</file>

<file path=xl/ctrlProps/ctrlProp118.xml><?xml version="1.0" encoding="utf-8"?>
<formControlPr xmlns="http://schemas.microsoft.com/office/spreadsheetml/2009/9/main" objectType="CheckBox" fmlaLink="$K$4" lockText="1"/>
</file>

<file path=xl/ctrlProps/ctrlProp119.xml><?xml version="1.0" encoding="utf-8"?>
<formControlPr xmlns="http://schemas.microsoft.com/office/spreadsheetml/2009/9/main" objectType="CheckBox" fmlaLink="$K$5" lockText="1"/>
</file>

<file path=xl/ctrlProps/ctrlProp12.xml><?xml version="1.0" encoding="utf-8"?>
<formControlPr xmlns="http://schemas.microsoft.com/office/spreadsheetml/2009/9/main" objectType="CheckBox" fmlaLink="$D$16" lockText="1"/>
</file>

<file path=xl/ctrlProps/ctrlProp120.xml><?xml version="1.0" encoding="utf-8"?>
<formControlPr xmlns="http://schemas.microsoft.com/office/spreadsheetml/2009/9/main" objectType="CheckBox" fmlaLink="$K$6" lockText="1"/>
</file>

<file path=xl/ctrlProps/ctrlProp121.xml><?xml version="1.0" encoding="utf-8"?>
<formControlPr xmlns="http://schemas.microsoft.com/office/spreadsheetml/2009/9/main" objectType="CheckBox" fmlaLink="$K$7" lockText="1"/>
</file>

<file path=xl/ctrlProps/ctrlProp122.xml><?xml version="1.0" encoding="utf-8"?>
<formControlPr xmlns="http://schemas.microsoft.com/office/spreadsheetml/2009/9/main" objectType="CheckBox" fmlaLink="$K$8" lockText="1"/>
</file>

<file path=xl/ctrlProps/ctrlProp123.xml><?xml version="1.0" encoding="utf-8"?>
<formControlPr xmlns="http://schemas.microsoft.com/office/spreadsheetml/2009/9/main" objectType="CheckBox" fmlaLink="$K$9" lockText="1"/>
</file>

<file path=xl/ctrlProps/ctrlProp124.xml><?xml version="1.0" encoding="utf-8"?>
<formControlPr xmlns="http://schemas.microsoft.com/office/spreadsheetml/2009/9/main" objectType="CheckBox" fmlaLink="$K$11" lockText="1"/>
</file>

<file path=xl/ctrlProps/ctrlProp125.xml><?xml version="1.0" encoding="utf-8"?>
<formControlPr xmlns="http://schemas.microsoft.com/office/spreadsheetml/2009/9/main" objectType="CheckBox" fmlaLink="$K$12" lockText="1"/>
</file>

<file path=xl/ctrlProps/ctrlProp126.xml><?xml version="1.0" encoding="utf-8"?>
<formControlPr xmlns="http://schemas.microsoft.com/office/spreadsheetml/2009/9/main" objectType="CheckBox" fmlaLink="$K$13" lockText="1"/>
</file>

<file path=xl/ctrlProps/ctrlProp127.xml><?xml version="1.0" encoding="utf-8"?>
<formControlPr xmlns="http://schemas.microsoft.com/office/spreadsheetml/2009/9/main" objectType="CheckBox" fmlaLink="$K$14" lockText="1"/>
</file>

<file path=xl/ctrlProps/ctrlProp128.xml><?xml version="1.0" encoding="utf-8"?>
<formControlPr xmlns="http://schemas.microsoft.com/office/spreadsheetml/2009/9/main" objectType="CheckBox" fmlaLink="$K$15" lockText="1"/>
</file>

<file path=xl/ctrlProps/ctrlProp129.xml><?xml version="1.0" encoding="utf-8"?>
<formControlPr xmlns="http://schemas.microsoft.com/office/spreadsheetml/2009/9/main" objectType="CheckBox" fmlaLink="$K$16" lockText="1"/>
</file>

<file path=xl/ctrlProps/ctrlProp13.xml><?xml version="1.0" encoding="utf-8"?>
<formControlPr xmlns="http://schemas.microsoft.com/office/spreadsheetml/2009/9/main" objectType="CheckBox" fmlaLink="$D$18" lockText="1"/>
</file>

<file path=xl/ctrlProps/ctrlProp130.xml><?xml version="1.0" encoding="utf-8"?>
<formControlPr xmlns="http://schemas.microsoft.com/office/spreadsheetml/2009/9/main" objectType="CheckBox" fmlaLink="$K$18" lockText="1"/>
</file>

<file path=xl/ctrlProps/ctrlProp131.xml><?xml version="1.0" encoding="utf-8"?>
<formControlPr xmlns="http://schemas.microsoft.com/office/spreadsheetml/2009/9/main" objectType="CheckBox" fmlaLink="$K$19" lockText="1"/>
</file>

<file path=xl/ctrlProps/ctrlProp132.xml><?xml version="1.0" encoding="utf-8"?>
<formControlPr xmlns="http://schemas.microsoft.com/office/spreadsheetml/2009/9/main" objectType="CheckBox" fmlaLink="$K$21" lockText="1"/>
</file>

<file path=xl/ctrlProps/ctrlProp133.xml><?xml version="1.0" encoding="utf-8"?>
<formControlPr xmlns="http://schemas.microsoft.com/office/spreadsheetml/2009/9/main" objectType="CheckBox" fmlaLink="$K$22" lockText="1"/>
</file>

<file path=xl/ctrlProps/ctrlProp134.xml><?xml version="1.0" encoding="utf-8"?>
<formControlPr xmlns="http://schemas.microsoft.com/office/spreadsheetml/2009/9/main" objectType="CheckBox" fmlaLink="$K$23" lockText="1"/>
</file>

<file path=xl/ctrlProps/ctrlProp135.xml><?xml version="1.0" encoding="utf-8"?>
<formControlPr xmlns="http://schemas.microsoft.com/office/spreadsheetml/2009/9/main" objectType="CheckBox" fmlaLink="$K$24" lockText="1"/>
</file>

<file path=xl/ctrlProps/ctrlProp136.xml><?xml version="1.0" encoding="utf-8"?>
<formControlPr xmlns="http://schemas.microsoft.com/office/spreadsheetml/2009/9/main" objectType="CheckBox" fmlaLink="$K$25" lockText="1"/>
</file>

<file path=xl/ctrlProps/ctrlProp137.xml><?xml version="1.0" encoding="utf-8"?>
<formControlPr xmlns="http://schemas.microsoft.com/office/spreadsheetml/2009/9/main" objectType="CheckBox" fmlaLink="$K$26" lockText="1"/>
</file>

<file path=xl/ctrlProps/ctrlProp138.xml><?xml version="1.0" encoding="utf-8"?>
<formControlPr xmlns="http://schemas.microsoft.com/office/spreadsheetml/2009/9/main" objectType="CheckBox" fmlaLink="$K$40" lockText="1"/>
</file>

<file path=xl/ctrlProps/ctrlProp139.xml><?xml version="1.0" encoding="utf-8"?>
<formControlPr xmlns="http://schemas.microsoft.com/office/spreadsheetml/2009/9/main" objectType="CheckBox" fmlaLink="$K$27" lockText="1"/>
</file>

<file path=xl/ctrlProps/ctrlProp14.xml><?xml version="1.0" encoding="utf-8"?>
<formControlPr xmlns="http://schemas.microsoft.com/office/spreadsheetml/2009/9/main" objectType="CheckBox" fmlaLink="$D$19" lockText="1"/>
</file>

<file path=xl/ctrlProps/ctrlProp140.xml><?xml version="1.0" encoding="utf-8"?>
<formControlPr xmlns="http://schemas.microsoft.com/office/spreadsheetml/2009/9/main" objectType="CheckBox" fmlaLink="$K$28" lockText="1"/>
</file>

<file path=xl/ctrlProps/ctrlProp141.xml><?xml version="1.0" encoding="utf-8"?>
<formControlPr xmlns="http://schemas.microsoft.com/office/spreadsheetml/2009/9/main" objectType="CheckBox" fmlaLink="$K$29" lockText="1"/>
</file>

<file path=xl/ctrlProps/ctrlProp142.xml><?xml version="1.0" encoding="utf-8"?>
<formControlPr xmlns="http://schemas.microsoft.com/office/spreadsheetml/2009/9/main" objectType="CheckBox" fmlaLink="$K$30" lockText="1"/>
</file>

<file path=xl/ctrlProps/ctrlProp143.xml><?xml version="1.0" encoding="utf-8"?>
<formControlPr xmlns="http://schemas.microsoft.com/office/spreadsheetml/2009/9/main" objectType="CheckBox" fmlaLink="$K$31" lockText="1"/>
</file>

<file path=xl/ctrlProps/ctrlProp144.xml><?xml version="1.0" encoding="utf-8"?>
<formControlPr xmlns="http://schemas.microsoft.com/office/spreadsheetml/2009/9/main" objectType="CheckBox" fmlaLink="$K$32" lockText="1"/>
</file>

<file path=xl/ctrlProps/ctrlProp145.xml><?xml version="1.0" encoding="utf-8"?>
<formControlPr xmlns="http://schemas.microsoft.com/office/spreadsheetml/2009/9/main" objectType="CheckBox" fmlaLink="$K$33" lockText="1"/>
</file>

<file path=xl/ctrlProps/ctrlProp146.xml><?xml version="1.0" encoding="utf-8"?>
<formControlPr xmlns="http://schemas.microsoft.com/office/spreadsheetml/2009/9/main" objectType="CheckBox" fmlaLink="$K$35" lockText="1"/>
</file>

<file path=xl/ctrlProps/ctrlProp147.xml><?xml version="1.0" encoding="utf-8"?>
<formControlPr xmlns="http://schemas.microsoft.com/office/spreadsheetml/2009/9/main" objectType="CheckBox" fmlaLink="$K$36" lockText="1"/>
</file>

<file path=xl/ctrlProps/ctrlProp148.xml><?xml version="1.0" encoding="utf-8"?>
<formControlPr xmlns="http://schemas.microsoft.com/office/spreadsheetml/2009/9/main" objectType="CheckBox" fmlaLink="$K$37" lockText="1"/>
</file>

<file path=xl/ctrlProps/ctrlProp149.xml><?xml version="1.0" encoding="utf-8"?>
<formControlPr xmlns="http://schemas.microsoft.com/office/spreadsheetml/2009/9/main" objectType="CheckBox" fmlaLink="$K$38" lockText="1"/>
</file>

<file path=xl/ctrlProps/ctrlProp15.xml><?xml version="1.0" encoding="utf-8"?>
<formControlPr xmlns="http://schemas.microsoft.com/office/spreadsheetml/2009/9/main" objectType="CheckBox" fmlaLink="$D$21" lockText="1"/>
</file>

<file path=xl/ctrlProps/ctrlProp150.xml><?xml version="1.0" encoding="utf-8"?>
<formControlPr xmlns="http://schemas.microsoft.com/office/spreadsheetml/2009/9/main" objectType="CheckBox" fmlaLink="$K$41" lockText="1"/>
</file>

<file path=xl/ctrlProps/ctrlProp151.xml><?xml version="1.0" encoding="utf-8"?>
<formControlPr xmlns="http://schemas.microsoft.com/office/spreadsheetml/2009/9/main" objectType="CheckBox" fmlaLink="$K$42" lockText="1"/>
</file>

<file path=xl/ctrlProps/ctrlProp152.xml><?xml version="1.0" encoding="utf-8"?>
<formControlPr xmlns="http://schemas.microsoft.com/office/spreadsheetml/2009/9/main" objectType="CheckBox" fmlaLink="$K$43" lockText="1"/>
</file>

<file path=xl/ctrlProps/ctrlProp153.xml><?xml version="1.0" encoding="utf-8"?>
<formControlPr xmlns="http://schemas.microsoft.com/office/spreadsheetml/2009/9/main" objectType="CheckBox" fmlaLink="$K$44" lockText="1"/>
</file>

<file path=xl/ctrlProps/ctrlProp154.xml><?xml version="1.0" encoding="utf-8"?>
<formControlPr xmlns="http://schemas.microsoft.com/office/spreadsheetml/2009/9/main" objectType="CheckBox" fmlaLink="$K$46" lockText="1"/>
</file>

<file path=xl/ctrlProps/ctrlProp155.xml><?xml version="1.0" encoding="utf-8"?>
<formControlPr xmlns="http://schemas.microsoft.com/office/spreadsheetml/2009/9/main" objectType="CheckBox" fmlaLink="$K$47" lockText="1"/>
</file>

<file path=xl/ctrlProps/ctrlProp156.xml><?xml version="1.0" encoding="utf-8"?>
<formControlPr xmlns="http://schemas.microsoft.com/office/spreadsheetml/2009/9/main" objectType="CheckBox" fmlaLink="$K$49" lockText="1"/>
</file>

<file path=xl/ctrlProps/ctrlProp157.xml><?xml version="1.0" encoding="utf-8"?>
<formControlPr xmlns="http://schemas.microsoft.com/office/spreadsheetml/2009/9/main" objectType="CheckBox" fmlaLink="$D$50" lockText="1"/>
</file>

<file path=xl/ctrlProps/ctrlProp158.xml><?xml version="1.0" encoding="utf-8"?>
<formControlPr xmlns="http://schemas.microsoft.com/office/spreadsheetml/2009/9/main" objectType="CheckBox" fmlaLink="$D$51" lockText="1"/>
</file>

<file path=xl/ctrlProps/ctrlProp159.xml><?xml version="1.0" encoding="utf-8"?>
<formControlPr xmlns="http://schemas.microsoft.com/office/spreadsheetml/2009/9/main" objectType="CheckBox" checked="Checked" fmlaLink="$F$50" lockText="1"/>
</file>

<file path=xl/ctrlProps/ctrlProp16.xml><?xml version="1.0" encoding="utf-8"?>
<formControlPr xmlns="http://schemas.microsoft.com/office/spreadsheetml/2009/9/main" objectType="CheckBox" fmlaLink="$D$22" lockText="1"/>
</file>

<file path=xl/ctrlProps/ctrlProp160.xml><?xml version="1.0" encoding="utf-8"?>
<formControlPr xmlns="http://schemas.microsoft.com/office/spreadsheetml/2009/9/main" objectType="CheckBox" fmlaLink="$F$51" lockText="1"/>
</file>

<file path=xl/ctrlProps/ctrlProp161.xml><?xml version="1.0" encoding="utf-8"?>
<formControlPr xmlns="http://schemas.microsoft.com/office/spreadsheetml/2009/9/main" objectType="CheckBox" fmlaLink="$I$50" lockText="1"/>
</file>

<file path=xl/ctrlProps/ctrlProp162.xml><?xml version="1.0" encoding="utf-8"?>
<formControlPr xmlns="http://schemas.microsoft.com/office/spreadsheetml/2009/9/main" objectType="CheckBox" fmlaLink="$I$51" lockText="1"/>
</file>

<file path=xl/ctrlProps/ctrlProp163.xml><?xml version="1.0" encoding="utf-8"?>
<formControlPr xmlns="http://schemas.microsoft.com/office/spreadsheetml/2009/9/main" objectType="CheckBox" fmlaLink="$K$50" lockText="1"/>
</file>

<file path=xl/ctrlProps/ctrlProp164.xml><?xml version="1.0" encoding="utf-8"?>
<formControlPr xmlns="http://schemas.microsoft.com/office/spreadsheetml/2009/9/main" objectType="CheckBox" fmlaLink="$K$51" lockText="1"/>
</file>

<file path=xl/ctrlProps/ctrlProp165.xml><?xml version="1.0" encoding="utf-8"?>
<formControlPr xmlns="http://schemas.microsoft.com/office/spreadsheetml/2009/9/main" objectType="CheckBox" checked="Checked" fmlaLink="$A$5" lockText="1"/>
</file>

<file path=xl/ctrlProps/ctrlProp166.xml><?xml version="1.0" encoding="utf-8"?>
<formControlPr xmlns="http://schemas.microsoft.com/office/spreadsheetml/2009/9/main" objectType="CheckBox" fmlaLink="$D$20" lockText="1"/>
</file>

<file path=xl/ctrlProps/ctrlProp167.xml><?xml version="1.0" encoding="utf-8"?>
<formControlPr xmlns="http://schemas.microsoft.com/office/spreadsheetml/2009/9/main" objectType="CheckBox" checked="Checked" fmlaLink="$F$20" lockText="1"/>
</file>

<file path=xl/ctrlProps/ctrlProp168.xml><?xml version="1.0" encoding="utf-8"?>
<formControlPr xmlns="http://schemas.microsoft.com/office/spreadsheetml/2009/9/main" objectType="CheckBox" fmlaLink="$I$20" lockText="1"/>
</file>

<file path=xl/ctrlProps/ctrlProp169.xml><?xml version="1.0" encoding="utf-8"?>
<formControlPr xmlns="http://schemas.microsoft.com/office/spreadsheetml/2009/9/main" objectType="CheckBox" fmlaLink="$K$20" lockText="1"/>
</file>

<file path=xl/ctrlProps/ctrlProp17.xml><?xml version="1.0" encoding="utf-8"?>
<formControlPr xmlns="http://schemas.microsoft.com/office/spreadsheetml/2009/9/main" objectType="CheckBox" fmlaLink="$D$23" lockText="1"/>
</file>

<file path=xl/ctrlProps/ctrlProp170.xml><?xml version="1.0" encoding="utf-8"?>
<formControlPr xmlns="http://schemas.microsoft.com/office/spreadsheetml/2009/9/main" objectType="CheckBox" fmlaLink="$D$53" lockText="1"/>
</file>

<file path=xl/ctrlProps/ctrlProp171.xml><?xml version="1.0" encoding="utf-8"?>
<formControlPr xmlns="http://schemas.microsoft.com/office/spreadsheetml/2009/9/main" objectType="CheckBox" fmlaLink="$D$54" lockText="1"/>
</file>

<file path=xl/ctrlProps/ctrlProp172.xml><?xml version="1.0" encoding="utf-8"?>
<formControlPr xmlns="http://schemas.microsoft.com/office/spreadsheetml/2009/9/main" objectType="CheckBox" fmlaLink="$D$55" lockText="1"/>
</file>

<file path=xl/ctrlProps/ctrlProp173.xml><?xml version="1.0" encoding="utf-8"?>
<formControlPr xmlns="http://schemas.microsoft.com/office/spreadsheetml/2009/9/main" objectType="CheckBox" fmlaLink="$D$56" lockText="1"/>
</file>

<file path=xl/ctrlProps/ctrlProp174.xml><?xml version="1.0" encoding="utf-8"?>
<formControlPr xmlns="http://schemas.microsoft.com/office/spreadsheetml/2009/9/main" objectType="CheckBox" fmlaLink="$F$53" lockText="1"/>
</file>

<file path=xl/ctrlProps/ctrlProp175.xml><?xml version="1.0" encoding="utf-8"?>
<formControlPr xmlns="http://schemas.microsoft.com/office/spreadsheetml/2009/9/main" objectType="CheckBox" fmlaLink="$F$54" lockText="1"/>
</file>

<file path=xl/ctrlProps/ctrlProp176.xml><?xml version="1.0" encoding="utf-8"?>
<formControlPr xmlns="http://schemas.microsoft.com/office/spreadsheetml/2009/9/main" objectType="CheckBox" fmlaLink="$F$55" lockText="1"/>
</file>

<file path=xl/ctrlProps/ctrlProp177.xml><?xml version="1.0" encoding="utf-8"?>
<formControlPr xmlns="http://schemas.microsoft.com/office/spreadsheetml/2009/9/main" objectType="CheckBox" fmlaLink="$F$56" lockText="1"/>
</file>

<file path=xl/ctrlProps/ctrlProp178.xml><?xml version="1.0" encoding="utf-8"?>
<formControlPr xmlns="http://schemas.microsoft.com/office/spreadsheetml/2009/9/main" objectType="CheckBox" fmlaLink="$I$53" lockText="1"/>
</file>

<file path=xl/ctrlProps/ctrlProp179.xml><?xml version="1.0" encoding="utf-8"?>
<formControlPr xmlns="http://schemas.microsoft.com/office/spreadsheetml/2009/9/main" objectType="CheckBox" fmlaLink="$I$54" lockText="1"/>
</file>

<file path=xl/ctrlProps/ctrlProp18.xml><?xml version="1.0" encoding="utf-8"?>
<formControlPr xmlns="http://schemas.microsoft.com/office/spreadsheetml/2009/9/main" objectType="CheckBox" fmlaLink="$D$24" lockText="1"/>
</file>

<file path=xl/ctrlProps/ctrlProp180.xml><?xml version="1.0" encoding="utf-8"?>
<formControlPr xmlns="http://schemas.microsoft.com/office/spreadsheetml/2009/9/main" objectType="CheckBox" fmlaLink="$I$55" lockText="1"/>
</file>

<file path=xl/ctrlProps/ctrlProp181.xml><?xml version="1.0" encoding="utf-8"?>
<formControlPr xmlns="http://schemas.microsoft.com/office/spreadsheetml/2009/9/main" objectType="CheckBox" fmlaLink="$I$56" lockText="1"/>
</file>

<file path=xl/ctrlProps/ctrlProp182.xml><?xml version="1.0" encoding="utf-8"?>
<formControlPr xmlns="http://schemas.microsoft.com/office/spreadsheetml/2009/9/main" objectType="CheckBox" fmlaLink="$K$53" lockText="1"/>
</file>

<file path=xl/ctrlProps/ctrlProp183.xml><?xml version="1.0" encoding="utf-8"?>
<formControlPr xmlns="http://schemas.microsoft.com/office/spreadsheetml/2009/9/main" objectType="CheckBox" fmlaLink="$K$54" lockText="1"/>
</file>

<file path=xl/ctrlProps/ctrlProp184.xml><?xml version="1.0" encoding="utf-8"?>
<formControlPr xmlns="http://schemas.microsoft.com/office/spreadsheetml/2009/9/main" objectType="CheckBox" fmlaLink="$K$55" lockText="1"/>
</file>

<file path=xl/ctrlProps/ctrlProp185.xml><?xml version="1.0" encoding="utf-8"?>
<formControlPr xmlns="http://schemas.microsoft.com/office/spreadsheetml/2009/9/main" objectType="CheckBox" fmlaLink="$K$56" lockText="1"/>
</file>

<file path=xl/ctrlProps/ctrlProp186.xml><?xml version="1.0" encoding="utf-8"?>
<formControlPr xmlns="http://schemas.microsoft.com/office/spreadsheetml/2009/9/main" objectType="CheckBox" checked="Checked" fmlaLink="'1) Wareneinsatz'!$A$5" lockText="1"/>
</file>

<file path=xl/ctrlProps/ctrlProp187.xml><?xml version="1.0" encoding="utf-8"?>
<formControlPr xmlns="http://schemas.microsoft.com/office/spreadsheetml/2009/9/main" objectType="CheckBox" checked="Checked" fmlaLink="'1) Wareneinsatz'!$A$5" lockText="1"/>
</file>

<file path=xl/ctrlProps/ctrlProp188.xml><?xml version="1.0" encoding="utf-8"?>
<formControlPr xmlns="http://schemas.microsoft.com/office/spreadsheetml/2009/9/main" objectType="CheckBox" checked="Checked" fmlaLink="'2) Angaben DB'!$D$30" lockText="1"/>
</file>

<file path=xl/ctrlProps/ctrlProp189.xml><?xml version="1.0" encoding="utf-8"?>
<formControlPr xmlns="http://schemas.microsoft.com/office/spreadsheetml/2009/9/main" objectType="CheckBox" fmlaLink="'2) Angaben DB'!$D$31" lockText="1"/>
</file>

<file path=xl/ctrlProps/ctrlProp19.xml><?xml version="1.0" encoding="utf-8"?>
<formControlPr xmlns="http://schemas.microsoft.com/office/spreadsheetml/2009/9/main" objectType="CheckBox" fmlaLink="$D$25" lockText="1"/>
</file>

<file path=xl/ctrlProps/ctrlProp190.xml><?xml version="1.0" encoding="utf-8"?>
<formControlPr xmlns="http://schemas.microsoft.com/office/spreadsheetml/2009/9/main" objectType="CheckBox" fmlaLink="'2) Angaben DB'!$E$30" lockText="1"/>
</file>

<file path=xl/ctrlProps/ctrlProp191.xml><?xml version="1.0" encoding="utf-8"?>
<formControlPr xmlns="http://schemas.microsoft.com/office/spreadsheetml/2009/9/main" objectType="CheckBox" fmlaLink="'2) Angaben DB'!$E$31" lockText="1"/>
</file>

<file path=xl/ctrlProps/ctrlProp192.xml><?xml version="1.0" encoding="utf-8"?>
<formControlPr xmlns="http://schemas.microsoft.com/office/spreadsheetml/2009/9/main" objectType="CheckBox" checked="Checked" fmlaLink="'1) Wareneinsatz'!$A$5" lockText="1"/>
</file>

<file path=xl/ctrlProps/ctrlProp2.xml><?xml version="1.0" encoding="utf-8"?>
<formControlPr xmlns="http://schemas.microsoft.com/office/spreadsheetml/2009/9/main" objectType="CheckBox" fmlaLink="$D$5" lockText="1"/>
</file>

<file path=xl/ctrlProps/ctrlProp20.xml><?xml version="1.0" encoding="utf-8"?>
<formControlPr xmlns="http://schemas.microsoft.com/office/spreadsheetml/2009/9/main" objectType="CheckBox" fmlaLink="$D$26" lockText="1"/>
</file>

<file path=xl/ctrlProps/ctrlProp21.xml><?xml version="1.0" encoding="utf-8"?>
<formControlPr xmlns="http://schemas.microsoft.com/office/spreadsheetml/2009/9/main" objectType="CheckBox" fmlaLink="$D$27" lockText="1"/>
</file>

<file path=xl/ctrlProps/ctrlProp22.xml><?xml version="1.0" encoding="utf-8"?>
<formControlPr xmlns="http://schemas.microsoft.com/office/spreadsheetml/2009/9/main" objectType="CheckBox" fmlaLink="$D$28" lockText="1"/>
</file>

<file path=xl/ctrlProps/ctrlProp23.xml><?xml version="1.0" encoding="utf-8"?>
<formControlPr xmlns="http://schemas.microsoft.com/office/spreadsheetml/2009/9/main" objectType="CheckBox" fmlaLink="$D$29" lockText="1"/>
</file>

<file path=xl/ctrlProps/ctrlProp24.xml><?xml version="1.0" encoding="utf-8"?>
<formControlPr xmlns="http://schemas.microsoft.com/office/spreadsheetml/2009/9/main" objectType="CheckBox" fmlaLink="$D$30" lockText="1"/>
</file>

<file path=xl/ctrlProps/ctrlProp25.xml><?xml version="1.0" encoding="utf-8"?>
<formControlPr xmlns="http://schemas.microsoft.com/office/spreadsheetml/2009/9/main" objectType="CheckBox" fmlaLink="$D$36" lockText="1"/>
</file>

<file path=xl/ctrlProps/ctrlProp26.xml><?xml version="1.0" encoding="utf-8"?>
<formControlPr xmlns="http://schemas.microsoft.com/office/spreadsheetml/2009/9/main" objectType="CheckBox" fmlaLink="$D$37" lockText="1"/>
</file>

<file path=xl/ctrlProps/ctrlProp27.xml><?xml version="1.0" encoding="utf-8"?>
<formControlPr xmlns="http://schemas.microsoft.com/office/spreadsheetml/2009/9/main" objectType="CheckBox" fmlaLink="$D$38" lockText="1"/>
</file>

<file path=xl/ctrlProps/ctrlProp28.xml><?xml version="1.0" encoding="utf-8"?>
<formControlPr xmlns="http://schemas.microsoft.com/office/spreadsheetml/2009/9/main" objectType="CheckBox" fmlaLink="$D$40" lockText="1"/>
</file>

<file path=xl/ctrlProps/ctrlProp29.xml><?xml version="1.0" encoding="utf-8"?>
<formControlPr xmlns="http://schemas.microsoft.com/office/spreadsheetml/2009/9/main" objectType="CheckBox" fmlaLink="$D$41" lockText="1"/>
</file>

<file path=xl/ctrlProps/ctrlProp3.xml><?xml version="1.0" encoding="utf-8"?>
<formControlPr xmlns="http://schemas.microsoft.com/office/spreadsheetml/2009/9/main" objectType="CheckBox" fmlaLink="$D$6" lockText="1"/>
</file>

<file path=xl/ctrlProps/ctrlProp30.xml><?xml version="1.0" encoding="utf-8"?>
<formControlPr xmlns="http://schemas.microsoft.com/office/spreadsheetml/2009/9/main" objectType="CheckBox" fmlaLink="$D$42" lockText="1"/>
</file>

<file path=xl/ctrlProps/ctrlProp31.xml><?xml version="1.0" encoding="utf-8"?>
<formControlPr xmlns="http://schemas.microsoft.com/office/spreadsheetml/2009/9/main" objectType="CheckBox" fmlaLink="$D$43" lockText="1"/>
</file>

<file path=xl/ctrlProps/ctrlProp32.xml><?xml version="1.0" encoding="utf-8"?>
<formControlPr xmlns="http://schemas.microsoft.com/office/spreadsheetml/2009/9/main" objectType="CheckBox" fmlaLink="$D$44" lockText="1"/>
</file>

<file path=xl/ctrlProps/ctrlProp33.xml><?xml version="1.0" encoding="utf-8"?>
<formControlPr xmlns="http://schemas.microsoft.com/office/spreadsheetml/2009/9/main" objectType="CheckBox" fmlaLink="$D$46" lockText="1"/>
</file>

<file path=xl/ctrlProps/ctrlProp34.xml><?xml version="1.0" encoding="utf-8"?>
<formControlPr xmlns="http://schemas.microsoft.com/office/spreadsheetml/2009/9/main" objectType="CheckBox" fmlaLink="$D$47" lockText="1"/>
</file>

<file path=xl/ctrlProps/ctrlProp35.xml><?xml version="1.0" encoding="utf-8"?>
<formControlPr xmlns="http://schemas.microsoft.com/office/spreadsheetml/2009/9/main" objectType="CheckBox" fmlaLink="$D$49" lockText="1"/>
</file>

<file path=xl/ctrlProps/ctrlProp36.xml><?xml version="1.0" encoding="utf-8"?>
<formControlPr xmlns="http://schemas.microsoft.com/office/spreadsheetml/2009/9/main" objectType="CheckBox" fmlaLink="$D$31" lockText="1"/>
</file>

<file path=xl/ctrlProps/ctrlProp37.xml><?xml version="1.0" encoding="utf-8"?>
<formControlPr xmlns="http://schemas.microsoft.com/office/spreadsheetml/2009/9/main" objectType="CheckBox" fmlaLink="$D$32" lockText="1"/>
</file>

<file path=xl/ctrlProps/ctrlProp38.xml><?xml version="1.0" encoding="utf-8"?>
<formControlPr xmlns="http://schemas.microsoft.com/office/spreadsheetml/2009/9/main" objectType="CheckBox" fmlaLink="$D$33" lockText="1"/>
</file>

<file path=xl/ctrlProps/ctrlProp39.xml><?xml version="1.0" encoding="utf-8"?>
<formControlPr xmlns="http://schemas.microsoft.com/office/spreadsheetml/2009/9/main" objectType="CheckBox" fmlaLink="$D$35" lockText="1"/>
</file>

<file path=xl/ctrlProps/ctrlProp4.xml><?xml version="1.0" encoding="utf-8"?>
<formControlPr xmlns="http://schemas.microsoft.com/office/spreadsheetml/2009/9/main" objectType="CheckBox" fmlaLink="$D$8" lockText="1"/>
</file>

<file path=xl/ctrlProps/ctrlProp40.xml><?xml version="1.0" encoding="utf-8"?>
<formControlPr xmlns="http://schemas.microsoft.com/office/spreadsheetml/2009/9/main" objectType="CheckBox" fmlaLink="$I$4" lockText="1"/>
</file>

<file path=xl/ctrlProps/ctrlProp41.xml><?xml version="1.0" encoding="utf-8"?>
<formControlPr xmlns="http://schemas.microsoft.com/office/spreadsheetml/2009/9/main" objectType="CheckBox" fmlaLink="$I$5" lockText="1"/>
</file>

<file path=xl/ctrlProps/ctrlProp42.xml><?xml version="1.0" encoding="utf-8"?>
<formControlPr xmlns="http://schemas.microsoft.com/office/spreadsheetml/2009/9/main" objectType="CheckBox" fmlaLink="$I$6" lockText="1"/>
</file>

<file path=xl/ctrlProps/ctrlProp43.xml><?xml version="1.0" encoding="utf-8"?>
<formControlPr xmlns="http://schemas.microsoft.com/office/spreadsheetml/2009/9/main" objectType="CheckBox" fmlaLink="$I$8" lockText="1"/>
</file>

<file path=xl/ctrlProps/ctrlProp44.xml><?xml version="1.0" encoding="utf-8"?>
<formControlPr xmlns="http://schemas.microsoft.com/office/spreadsheetml/2009/9/main" objectType="CheckBox" fmlaLink="$I$7" lockText="1"/>
</file>

<file path=xl/ctrlProps/ctrlProp45.xml><?xml version="1.0" encoding="utf-8"?>
<formControlPr xmlns="http://schemas.microsoft.com/office/spreadsheetml/2009/9/main" objectType="CheckBox" fmlaLink="$I$9" lockText="1"/>
</file>

<file path=xl/ctrlProps/ctrlProp46.xml><?xml version="1.0" encoding="utf-8"?>
<formControlPr xmlns="http://schemas.microsoft.com/office/spreadsheetml/2009/9/main" objectType="CheckBox" fmlaLink="$I$11" lockText="1"/>
</file>

<file path=xl/ctrlProps/ctrlProp47.xml><?xml version="1.0" encoding="utf-8"?>
<formControlPr xmlns="http://schemas.microsoft.com/office/spreadsheetml/2009/9/main" objectType="CheckBox" fmlaLink="$I$12" lockText="1"/>
</file>

<file path=xl/ctrlProps/ctrlProp48.xml><?xml version="1.0" encoding="utf-8"?>
<formControlPr xmlns="http://schemas.microsoft.com/office/spreadsheetml/2009/9/main" objectType="CheckBox" fmlaLink="$I$13" lockText="1"/>
</file>

<file path=xl/ctrlProps/ctrlProp49.xml><?xml version="1.0" encoding="utf-8"?>
<formControlPr xmlns="http://schemas.microsoft.com/office/spreadsheetml/2009/9/main" objectType="CheckBox" fmlaLink="$I$14" lockText="1"/>
</file>

<file path=xl/ctrlProps/ctrlProp5.xml><?xml version="1.0" encoding="utf-8"?>
<formControlPr xmlns="http://schemas.microsoft.com/office/spreadsheetml/2009/9/main" objectType="CheckBox" fmlaLink="$D$7" lockText="1"/>
</file>

<file path=xl/ctrlProps/ctrlProp50.xml><?xml version="1.0" encoding="utf-8"?>
<formControlPr xmlns="http://schemas.microsoft.com/office/spreadsheetml/2009/9/main" objectType="CheckBox" fmlaLink="$I$15" lockText="1"/>
</file>

<file path=xl/ctrlProps/ctrlProp51.xml><?xml version="1.0" encoding="utf-8"?>
<formControlPr xmlns="http://schemas.microsoft.com/office/spreadsheetml/2009/9/main" objectType="CheckBox" fmlaLink="$I$16" lockText="1"/>
</file>

<file path=xl/ctrlProps/ctrlProp52.xml><?xml version="1.0" encoding="utf-8"?>
<formControlPr xmlns="http://schemas.microsoft.com/office/spreadsheetml/2009/9/main" objectType="CheckBox" fmlaLink="$I$18" lockText="1"/>
</file>

<file path=xl/ctrlProps/ctrlProp53.xml><?xml version="1.0" encoding="utf-8"?>
<formControlPr xmlns="http://schemas.microsoft.com/office/spreadsheetml/2009/9/main" objectType="CheckBox" fmlaLink="$I$19" lockText="1"/>
</file>

<file path=xl/ctrlProps/ctrlProp54.xml><?xml version="1.0" encoding="utf-8"?>
<formControlPr xmlns="http://schemas.microsoft.com/office/spreadsheetml/2009/9/main" objectType="CheckBox" fmlaLink="$I$21" lockText="1"/>
</file>

<file path=xl/ctrlProps/ctrlProp55.xml><?xml version="1.0" encoding="utf-8"?>
<formControlPr xmlns="http://schemas.microsoft.com/office/spreadsheetml/2009/9/main" objectType="CheckBox" fmlaLink="$I$22" lockText="1"/>
</file>

<file path=xl/ctrlProps/ctrlProp56.xml><?xml version="1.0" encoding="utf-8"?>
<formControlPr xmlns="http://schemas.microsoft.com/office/spreadsheetml/2009/9/main" objectType="CheckBox" fmlaLink="$I$23" lockText="1"/>
</file>

<file path=xl/ctrlProps/ctrlProp57.xml><?xml version="1.0" encoding="utf-8"?>
<formControlPr xmlns="http://schemas.microsoft.com/office/spreadsheetml/2009/9/main" objectType="CheckBox" fmlaLink="$I$24" lockText="1"/>
</file>

<file path=xl/ctrlProps/ctrlProp58.xml><?xml version="1.0" encoding="utf-8"?>
<formControlPr xmlns="http://schemas.microsoft.com/office/spreadsheetml/2009/9/main" objectType="CheckBox" fmlaLink="$I$25" lockText="1"/>
</file>

<file path=xl/ctrlProps/ctrlProp59.xml><?xml version="1.0" encoding="utf-8"?>
<formControlPr xmlns="http://schemas.microsoft.com/office/spreadsheetml/2009/9/main" objectType="CheckBox" fmlaLink="$I$26" lockText="1"/>
</file>

<file path=xl/ctrlProps/ctrlProp6.xml><?xml version="1.0" encoding="utf-8"?>
<formControlPr xmlns="http://schemas.microsoft.com/office/spreadsheetml/2009/9/main" objectType="CheckBox" fmlaLink="$D$9" lockText="1"/>
</file>

<file path=xl/ctrlProps/ctrlProp60.xml><?xml version="1.0" encoding="utf-8"?>
<formControlPr xmlns="http://schemas.microsoft.com/office/spreadsheetml/2009/9/main" objectType="CheckBox" fmlaLink="$I$27" lockText="1"/>
</file>

<file path=xl/ctrlProps/ctrlProp61.xml><?xml version="1.0" encoding="utf-8"?>
<formControlPr xmlns="http://schemas.microsoft.com/office/spreadsheetml/2009/9/main" objectType="CheckBox" fmlaLink="$I$28" lockText="1"/>
</file>

<file path=xl/ctrlProps/ctrlProp62.xml><?xml version="1.0" encoding="utf-8"?>
<formControlPr xmlns="http://schemas.microsoft.com/office/spreadsheetml/2009/9/main" objectType="CheckBox" fmlaLink="$I$29" lockText="1"/>
</file>

<file path=xl/ctrlProps/ctrlProp63.xml><?xml version="1.0" encoding="utf-8"?>
<formControlPr xmlns="http://schemas.microsoft.com/office/spreadsheetml/2009/9/main" objectType="CheckBox" fmlaLink="$I$30" lockText="1"/>
</file>

<file path=xl/ctrlProps/ctrlProp64.xml><?xml version="1.0" encoding="utf-8"?>
<formControlPr xmlns="http://schemas.microsoft.com/office/spreadsheetml/2009/9/main" objectType="CheckBox" fmlaLink="$I$36" lockText="1"/>
</file>

<file path=xl/ctrlProps/ctrlProp65.xml><?xml version="1.0" encoding="utf-8"?>
<formControlPr xmlns="http://schemas.microsoft.com/office/spreadsheetml/2009/9/main" objectType="CheckBox" fmlaLink="$I$37" lockText="1"/>
</file>

<file path=xl/ctrlProps/ctrlProp66.xml><?xml version="1.0" encoding="utf-8"?>
<formControlPr xmlns="http://schemas.microsoft.com/office/spreadsheetml/2009/9/main" objectType="CheckBox" fmlaLink="$I$38" lockText="1"/>
</file>

<file path=xl/ctrlProps/ctrlProp67.xml><?xml version="1.0" encoding="utf-8"?>
<formControlPr xmlns="http://schemas.microsoft.com/office/spreadsheetml/2009/9/main" objectType="CheckBox" fmlaLink="$I$40" lockText="1"/>
</file>

<file path=xl/ctrlProps/ctrlProp68.xml><?xml version="1.0" encoding="utf-8"?>
<formControlPr xmlns="http://schemas.microsoft.com/office/spreadsheetml/2009/9/main" objectType="CheckBox" fmlaLink="$I$41" lockText="1"/>
</file>

<file path=xl/ctrlProps/ctrlProp69.xml><?xml version="1.0" encoding="utf-8"?>
<formControlPr xmlns="http://schemas.microsoft.com/office/spreadsheetml/2009/9/main" objectType="CheckBox" fmlaLink="$I$42" lockText="1"/>
</file>

<file path=xl/ctrlProps/ctrlProp7.xml><?xml version="1.0" encoding="utf-8"?>
<formControlPr xmlns="http://schemas.microsoft.com/office/spreadsheetml/2009/9/main" objectType="CheckBox" fmlaLink="$D$11" lockText="1"/>
</file>

<file path=xl/ctrlProps/ctrlProp70.xml><?xml version="1.0" encoding="utf-8"?>
<formControlPr xmlns="http://schemas.microsoft.com/office/spreadsheetml/2009/9/main" objectType="CheckBox" fmlaLink="$I$43" lockText="1"/>
</file>

<file path=xl/ctrlProps/ctrlProp71.xml><?xml version="1.0" encoding="utf-8"?>
<formControlPr xmlns="http://schemas.microsoft.com/office/spreadsheetml/2009/9/main" objectType="CheckBox" fmlaLink="$I$44" lockText="1"/>
</file>

<file path=xl/ctrlProps/ctrlProp72.xml><?xml version="1.0" encoding="utf-8"?>
<formControlPr xmlns="http://schemas.microsoft.com/office/spreadsheetml/2009/9/main" objectType="CheckBox" fmlaLink="$I$46" lockText="1"/>
</file>

<file path=xl/ctrlProps/ctrlProp73.xml><?xml version="1.0" encoding="utf-8"?>
<formControlPr xmlns="http://schemas.microsoft.com/office/spreadsheetml/2009/9/main" objectType="CheckBox" fmlaLink="$I$47" lockText="1"/>
</file>

<file path=xl/ctrlProps/ctrlProp74.xml><?xml version="1.0" encoding="utf-8"?>
<formControlPr xmlns="http://schemas.microsoft.com/office/spreadsheetml/2009/9/main" objectType="CheckBox" fmlaLink="$I$49" lockText="1"/>
</file>

<file path=xl/ctrlProps/ctrlProp75.xml><?xml version="1.0" encoding="utf-8"?>
<formControlPr xmlns="http://schemas.microsoft.com/office/spreadsheetml/2009/9/main" objectType="CheckBox" fmlaLink="$I$31" lockText="1"/>
</file>

<file path=xl/ctrlProps/ctrlProp76.xml><?xml version="1.0" encoding="utf-8"?>
<formControlPr xmlns="http://schemas.microsoft.com/office/spreadsheetml/2009/9/main" objectType="CheckBox" fmlaLink="$I$32" lockText="1"/>
</file>

<file path=xl/ctrlProps/ctrlProp77.xml><?xml version="1.0" encoding="utf-8"?>
<formControlPr xmlns="http://schemas.microsoft.com/office/spreadsheetml/2009/9/main" objectType="CheckBox" fmlaLink="$I$33" lockText="1"/>
</file>

<file path=xl/ctrlProps/ctrlProp78.xml><?xml version="1.0" encoding="utf-8"?>
<formControlPr xmlns="http://schemas.microsoft.com/office/spreadsheetml/2009/9/main" objectType="CheckBox" fmlaLink="$I$35" lockText="1"/>
</file>

<file path=xl/ctrlProps/ctrlProp79.xml><?xml version="1.0" encoding="utf-8"?>
<formControlPr xmlns="http://schemas.microsoft.com/office/spreadsheetml/2009/9/main" objectType="CheckBox" checked="Checked" fmlaLink="$F$4" lockText="1"/>
</file>

<file path=xl/ctrlProps/ctrlProp8.xml><?xml version="1.0" encoding="utf-8"?>
<formControlPr xmlns="http://schemas.microsoft.com/office/spreadsheetml/2009/9/main" objectType="CheckBox" fmlaLink="$D$12" lockText="1"/>
</file>

<file path=xl/ctrlProps/ctrlProp80.xml><?xml version="1.0" encoding="utf-8"?>
<formControlPr xmlns="http://schemas.microsoft.com/office/spreadsheetml/2009/9/main" objectType="CheckBox" checked="Checked" fmlaLink="$F$5" lockText="1"/>
</file>

<file path=xl/ctrlProps/ctrlProp81.xml><?xml version="1.0" encoding="utf-8"?>
<formControlPr xmlns="http://schemas.microsoft.com/office/spreadsheetml/2009/9/main" objectType="CheckBox" fmlaLink="$F$6" lockText="1"/>
</file>

<file path=xl/ctrlProps/ctrlProp82.xml><?xml version="1.0" encoding="utf-8"?>
<formControlPr xmlns="http://schemas.microsoft.com/office/spreadsheetml/2009/9/main" objectType="CheckBox" fmlaLink="$F$7" lockText="1"/>
</file>

<file path=xl/ctrlProps/ctrlProp83.xml><?xml version="1.0" encoding="utf-8"?>
<formControlPr xmlns="http://schemas.microsoft.com/office/spreadsheetml/2009/9/main" objectType="CheckBox" fmlaLink="$F$8" lockText="1"/>
</file>

<file path=xl/ctrlProps/ctrlProp84.xml><?xml version="1.0" encoding="utf-8"?>
<formControlPr xmlns="http://schemas.microsoft.com/office/spreadsheetml/2009/9/main" objectType="CheckBox" fmlaLink="$F$9" lockText="1"/>
</file>

<file path=xl/ctrlProps/ctrlProp85.xml><?xml version="1.0" encoding="utf-8"?>
<formControlPr xmlns="http://schemas.microsoft.com/office/spreadsheetml/2009/9/main" objectType="CheckBox" fmlaLink="$F$11" lockText="1"/>
</file>

<file path=xl/ctrlProps/ctrlProp86.xml><?xml version="1.0" encoding="utf-8"?>
<formControlPr xmlns="http://schemas.microsoft.com/office/spreadsheetml/2009/9/main" objectType="CheckBox" fmlaLink="$F$12" lockText="1"/>
</file>

<file path=xl/ctrlProps/ctrlProp87.xml><?xml version="1.0" encoding="utf-8"?>
<formControlPr xmlns="http://schemas.microsoft.com/office/spreadsheetml/2009/9/main" objectType="CheckBox" fmlaLink="$F$13" lockText="1"/>
</file>

<file path=xl/ctrlProps/ctrlProp88.xml><?xml version="1.0" encoding="utf-8"?>
<formControlPr xmlns="http://schemas.microsoft.com/office/spreadsheetml/2009/9/main" objectType="CheckBox" fmlaLink="$F$14" lockText="1"/>
</file>

<file path=xl/ctrlProps/ctrlProp89.xml><?xml version="1.0" encoding="utf-8"?>
<formControlPr xmlns="http://schemas.microsoft.com/office/spreadsheetml/2009/9/main" objectType="CheckBox" fmlaLink="$F$15" lockText="1"/>
</file>

<file path=xl/ctrlProps/ctrlProp9.xml><?xml version="1.0" encoding="utf-8"?>
<formControlPr xmlns="http://schemas.microsoft.com/office/spreadsheetml/2009/9/main" objectType="CheckBox" fmlaLink="$D$13" lockText="1"/>
</file>

<file path=xl/ctrlProps/ctrlProp90.xml><?xml version="1.0" encoding="utf-8"?>
<formControlPr xmlns="http://schemas.microsoft.com/office/spreadsheetml/2009/9/main" objectType="CheckBox" checked="Checked" fmlaLink="$F$16" lockText="1"/>
</file>

<file path=xl/ctrlProps/ctrlProp91.xml><?xml version="1.0" encoding="utf-8"?>
<formControlPr xmlns="http://schemas.microsoft.com/office/spreadsheetml/2009/9/main" objectType="CheckBox" fmlaLink="$F$18" lockText="1"/>
</file>

<file path=xl/ctrlProps/ctrlProp92.xml><?xml version="1.0" encoding="utf-8"?>
<formControlPr xmlns="http://schemas.microsoft.com/office/spreadsheetml/2009/9/main" objectType="CheckBox" checked="Checked" fmlaLink="$F$19" lockText="1"/>
</file>

<file path=xl/ctrlProps/ctrlProp93.xml><?xml version="1.0" encoding="utf-8"?>
<formControlPr xmlns="http://schemas.microsoft.com/office/spreadsheetml/2009/9/main" objectType="CheckBox" fmlaLink="$F$21" lockText="1"/>
</file>

<file path=xl/ctrlProps/ctrlProp94.xml><?xml version="1.0" encoding="utf-8"?>
<formControlPr xmlns="http://schemas.microsoft.com/office/spreadsheetml/2009/9/main" objectType="CheckBox" fmlaLink="$F$22" lockText="1"/>
</file>

<file path=xl/ctrlProps/ctrlProp95.xml><?xml version="1.0" encoding="utf-8"?>
<formControlPr xmlns="http://schemas.microsoft.com/office/spreadsheetml/2009/9/main" objectType="CheckBox" fmlaLink="$F$23" lockText="1"/>
</file>

<file path=xl/ctrlProps/ctrlProp96.xml><?xml version="1.0" encoding="utf-8"?>
<formControlPr xmlns="http://schemas.microsoft.com/office/spreadsheetml/2009/9/main" objectType="CheckBox" checked="Checked" fmlaLink="$F$24" lockText="1"/>
</file>

<file path=xl/ctrlProps/ctrlProp97.xml><?xml version="1.0" encoding="utf-8"?>
<formControlPr xmlns="http://schemas.microsoft.com/office/spreadsheetml/2009/9/main" objectType="CheckBox" checked="Checked" fmlaLink="$F$25" lockText="1"/>
</file>

<file path=xl/ctrlProps/ctrlProp98.xml><?xml version="1.0" encoding="utf-8"?>
<formControlPr xmlns="http://schemas.microsoft.com/office/spreadsheetml/2009/9/main" objectType="CheckBox" fmlaLink="$F$26" lockText="1"/>
</file>

<file path=xl/ctrlProps/ctrlProp99.xml><?xml version="1.0" encoding="utf-8"?>
<formControlPr xmlns="http://schemas.microsoft.com/office/spreadsheetml/2009/9/main" objectType="CheckBox" fmlaLink="$F$27"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22</xdr:row>
      <xdr:rowOff>30480</xdr:rowOff>
    </xdr:from>
    <xdr:to>
      <xdr:col>1</xdr:col>
      <xdr:colOff>563880</xdr:colOff>
      <xdr:row>26</xdr:row>
      <xdr:rowOff>978</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0480" y="4053840"/>
          <a:ext cx="1348740" cy="702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175260</xdr:colOff>
          <xdr:row>2</xdr:row>
          <xdr:rowOff>175260</xdr:rowOff>
        </xdr:from>
        <xdr:to>
          <xdr:col>3</xdr:col>
          <xdr:colOff>438150</xdr:colOff>
          <xdr:row>4</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xdr:row>
          <xdr:rowOff>7620</xdr:rowOff>
        </xdr:from>
        <xdr:to>
          <xdr:col>3</xdr:col>
          <xdr:colOff>371475</xdr:colOff>
          <xdr:row>4</xdr:row>
          <xdr:rowOff>171450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xdr:row>
          <xdr:rowOff>175260</xdr:rowOff>
        </xdr:from>
        <xdr:to>
          <xdr:col>3</xdr:col>
          <xdr:colOff>352425</xdr:colOff>
          <xdr:row>5</xdr:row>
          <xdr:rowOff>171450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6</xdr:row>
          <xdr:rowOff>175260</xdr:rowOff>
        </xdr:from>
        <xdr:to>
          <xdr:col>3</xdr:col>
          <xdr:colOff>352425</xdr:colOff>
          <xdr:row>7</xdr:row>
          <xdr:rowOff>171450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5</xdr:row>
          <xdr:rowOff>175260</xdr:rowOff>
        </xdr:from>
        <xdr:to>
          <xdr:col>3</xdr:col>
          <xdr:colOff>371475</xdr:colOff>
          <xdr:row>6</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7</xdr:row>
          <xdr:rowOff>175260</xdr:rowOff>
        </xdr:from>
        <xdr:to>
          <xdr:col>3</xdr:col>
          <xdr:colOff>352425</xdr:colOff>
          <xdr:row>8</xdr:row>
          <xdr:rowOff>171450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9</xdr:row>
          <xdr:rowOff>175260</xdr:rowOff>
        </xdr:from>
        <xdr:to>
          <xdr:col>3</xdr:col>
          <xdr:colOff>400050</xdr:colOff>
          <xdr:row>11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xdr:row>
          <xdr:rowOff>175260</xdr:rowOff>
        </xdr:from>
        <xdr:to>
          <xdr:col>3</xdr:col>
          <xdr:colOff>352425</xdr:colOff>
          <xdr:row>11</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xdr:row>
          <xdr:rowOff>175260</xdr:rowOff>
        </xdr:from>
        <xdr:to>
          <xdr:col>3</xdr:col>
          <xdr:colOff>352425</xdr:colOff>
          <xdr:row>12</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12</xdr:row>
          <xdr:rowOff>182880</xdr:rowOff>
        </xdr:from>
        <xdr:to>
          <xdr:col>3</xdr:col>
          <xdr:colOff>352425</xdr:colOff>
          <xdr:row>14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13</xdr:row>
          <xdr:rowOff>175260</xdr:rowOff>
        </xdr:from>
        <xdr:to>
          <xdr:col>3</xdr:col>
          <xdr:colOff>352425</xdr:colOff>
          <xdr:row>14</xdr:row>
          <xdr:rowOff>171450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14</xdr:row>
          <xdr:rowOff>175260</xdr:rowOff>
        </xdr:from>
        <xdr:to>
          <xdr:col>3</xdr:col>
          <xdr:colOff>361950</xdr:colOff>
          <xdr:row>15</xdr:row>
          <xdr:rowOff>171450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17</xdr:row>
          <xdr:rowOff>0</xdr:rowOff>
        </xdr:from>
        <xdr:to>
          <xdr:col>3</xdr:col>
          <xdr:colOff>352425</xdr:colOff>
          <xdr:row>18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17</xdr:row>
          <xdr:rowOff>175260</xdr:rowOff>
        </xdr:from>
        <xdr:to>
          <xdr:col>3</xdr:col>
          <xdr:colOff>352425</xdr:colOff>
          <xdr:row>18</xdr:row>
          <xdr:rowOff>171450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19</xdr:row>
          <xdr:rowOff>182880</xdr:rowOff>
        </xdr:from>
        <xdr:to>
          <xdr:col>3</xdr:col>
          <xdr:colOff>352425</xdr:colOff>
          <xdr:row>21</xdr:row>
          <xdr:rowOff>1058</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20</xdr:row>
          <xdr:rowOff>182880</xdr:rowOff>
        </xdr:from>
        <xdr:to>
          <xdr:col>3</xdr:col>
          <xdr:colOff>352425</xdr:colOff>
          <xdr:row>22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22</xdr:row>
          <xdr:rowOff>7620</xdr:rowOff>
        </xdr:from>
        <xdr:to>
          <xdr:col>3</xdr:col>
          <xdr:colOff>352425</xdr:colOff>
          <xdr:row>23</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22</xdr:row>
          <xdr:rowOff>182880</xdr:rowOff>
        </xdr:from>
        <xdr:to>
          <xdr:col>3</xdr:col>
          <xdr:colOff>352425</xdr:colOff>
          <xdr:row>24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24</xdr:row>
          <xdr:rowOff>7620</xdr:rowOff>
        </xdr:from>
        <xdr:to>
          <xdr:col>3</xdr:col>
          <xdr:colOff>352425</xdr:colOff>
          <xdr:row>25</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24</xdr:row>
          <xdr:rowOff>175260</xdr:rowOff>
        </xdr:from>
        <xdr:to>
          <xdr:col>3</xdr:col>
          <xdr:colOff>352425</xdr:colOff>
          <xdr:row>25</xdr:row>
          <xdr:rowOff>171450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25</xdr:row>
          <xdr:rowOff>175260</xdr:rowOff>
        </xdr:from>
        <xdr:to>
          <xdr:col>3</xdr:col>
          <xdr:colOff>361950</xdr:colOff>
          <xdr:row>26</xdr:row>
          <xdr:rowOff>171450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26</xdr:row>
          <xdr:rowOff>182880</xdr:rowOff>
        </xdr:from>
        <xdr:to>
          <xdr:col>3</xdr:col>
          <xdr:colOff>352425</xdr:colOff>
          <xdr:row>28</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27</xdr:row>
          <xdr:rowOff>175260</xdr:rowOff>
        </xdr:from>
        <xdr:to>
          <xdr:col>3</xdr:col>
          <xdr:colOff>352425</xdr:colOff>
          <xdr:row>28</xdr:row>
          <xdr:rowOff>171450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28</xdr:row>
          <xdr:rowOff>175260</xdr:rowOff>
        </xdr:from>
        <xdr:to>
          <xdr:col>3</xdr:col>
          <xdr:colOff>352425</xdr:colOff>
          <xdr:row>29</xdr:row>
          <xdr:rowOff>171450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34</xdr:row>
          <xdr:rowOff>175260</xdr:rowOff>
        </xdr:from>
        <xdr:to>
          <xdr:col>3</xdr:col>
          <xdr:colOff>352425</xdr:colOff>
          <xdr:row>35</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35</xdr:row>
          <xdr:rowOff>175260</xdr:rowOff>
        </xdr:from>
        <xdr:to>
          <xdr:col>3</xdr:col>
          <xdr:colOff>352425</xdr:colOff>
          <xdr:row>36</xdr:row>
          <xdr:rowOff>171450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37</xdr:row>
          <xdr:rowOff>0</xdr:rowOff>
        </xdr:from>
        <xdr:to>
          <xdr:col>3</xdr:col>
          <xdr:colOff>352425</xdr:colOff>
          <xdr:row>38</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38</xdr:row>
          <xdr:rowOff>175260</xdr:rowOff>
        </xdr:from>
        <xdr:to>
          <xdr:col>3</xdr:col>
          <xdr:colOff>352425</xdr:colOff>
          <xdr:row>40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39</xdr:row>
          <xdr:rowOff>175260</xdr:rowOff>
        </xdr:from>
        <xdr:to>
          <xdr:col>3</xdr:col>
          <xdr:colOff>352425</xdr:colOff>
          <xdr:row>40</xdr:row>
          <xdr:rowOff>171450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41</xdr:row>
          <xdr:rowOff>7620</xdr:rowOff>
        </xdr:from>
        <xdr:to>
          <xdr:col>3</xdr:col>
          <xdr:colOff>352425</xdr:colOff>
          <xdr:row>42</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42</xdr:row>
          <xdr:rowOff>0</xdr:rowOff>
        </xdr:from>
        <xdr:to>
          <xdr:col>3</xdr:col>
          <xdr:colOff>352425</xdr:colOff>
          <xdr:row>43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42</xdr:row>
          <xdr:rowOff>175260</xdr:rowOff>
        </xdr:from>
        <xdr:to>
          <xdr:col>3</xdr:col>
          <xdr:colOff>352425</xdr:colOff>
          <xdr:row>43</xdr:row>
          <xdr:rowOff>171450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44</xdr:row>
          <xdr:rowOff>175260</xdr:rowOff>
        </xdr:from>
        <xdr:to>
          <xdr:col>3</xdr:col>
          <xdr:colOff>352425</xdr:colOff>
          <xdr:row>46</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45</xdr:row>
          <xdr:rowOff>175260</xdr:rowOff>
        </xdr:from>
        <xdr:to>
          <xdr:col>3</xdr:col>
          <xdr:colOff>352425</xdr:colOff>
          <xdr:row>46</xdr:row>
          <xdr:rowOff>171450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47</xdr:row>
          <xdr:rowOff>175260</xdr:rowOff>
        </xdr:from>
        <xdr:to>
          <xdr:col>3</xdr:col>
          <xdr:colOff>352425</xdr:colOff>
          <xdr:row>49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30</xdr:row>
          <xdr:rowOff>0</xdr:rowOff>
        </xdr:from>
        <xdr:to>
          <xdr:col>3</xdr:col>
          <xdr:colOff>352425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31</xdr:row>
          <xdr:rowOff>0</xdr:rowOff>
        </xdr:from>
        <xdr:to>
          <xdr:col>3</xdr:col>
          <xdr:colOff>352425</xdr:colOff>
          <xdr:row>32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31</xdr:row>
          <xdr:rowOff>182880</xdr:rowOff>
        </xdr:from>
        <xdr:to>
          <xdr:col>3</xdr:col>
          <xdr:colOff>352425</xdr:colOff>
          <xdr:row>33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33</xdr:row>
          <xdr:rowOff>175260</xdr:rowOff>
        </xdr:from>
        <xdr:to>
          <xdr:col>3</xdr:col>
          <xdr:colOff>352425</xdr:colOff>
          <xdr:row>35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xdr:row>
          <xdr:rowOff>175260</xdr:rowOff>
        </xdr:from>
        <xdr:to>
          <xdr:col>8</xdr:col>
          <xdr:colOff>438150</xdr:colOff>
          <xdr:row>4</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xdr:row>
          <xdr:rowOff>7620</xdr:rowOff>
        </xdr:from>
        <xdr:to>
          <xdr:col>8</xdr:col>
          <xdr:colOff>371475</xdr:colOff>
          <xdr:row>4</xdr:row>
          <xdr:rowOff>171450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xdr:row>
          <xdr:rowOff>175260</xdr:rowOff>
        </xdr:from>
        <xdr:to>
          <xdr:col>8</xdr:col>
          <xdr:colOff>352425</xdr:colOff>
          <xdr:row>5</xdr:row>
          <xdr:rowOff>171450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6</xdr:row>
          <xdr:rowOff>175260</xdr:rowOff>
        </xdr:from>
        <xdr:to>
          <xdr:col>8</xdr:col>
          <xdr:colOff>352425</xdr:colOff>
          <xdr:row>7</xdr:row>
          <xdr:rowOff>171450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5</xdr:row>
          <xdr:rowOff>175260</xdr:rowOff>
        </xdr:from>
        <xdr:to>
          <xdr:col>8</xdr:col>
          <xdr:colOff>333375</xdr:colOff>
          <xdr:row>6</xdr:row>
          <xdr:rowOff>171450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7</xdr:row>
          <xdr:rowOff>175260</xdr:rowOff>
        </xdr:from>
        <xdr:to>
          <xdr:col>8</xdr:col>
          <xdr:colOff>352425</xdr:colOff>
          <xdr:row>8</xdr:row>
          <xdr:rowOff>171450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9</xdr:row>
          <xdr:rowOff>175260</xdr:rowOff>
        </xdr:from>
        <xdr:to>
          <xdr:col>8</xdr:col>
          <xdr:colOff>333375</xdr:colOff>
          <xdr:row>11</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10</xdr:row>
          <xdr:rowOff>175260</xdr:rowOff>
        </xdr:from>
        <xdr:to>
          <xdr:col>8</xdr:col>
          <xdr:colOff>352425</xdr:colOff>
          <xdr:row>11</xdr:row>
          <xdr:rowOff>171450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11</xdr:row>
          <xdr:rowOff>175260</xdr:rowOff>
        </xdr:from>
        <xdr:to>
          <xdr:col>8</xdr:col>
          <xdr:colOff>352425</xdr:colOff>
          <xdr:row>12</xdr:row>
          <xdr:rowOff>171450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12</xdr:row>
          <xdr:rowOff>182880</xdr:rowOff>
        </xdr:from>
        <xdr:to>
          <xdr:col>8</xdr:col>
          <xdr:colOff>352425</xdr:colOff>
          <xdr:row>14</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13</xdr:row>
          <xdr:rowOff>175260</xdr:rowOff>
        </xdr:from>
        <xdr:to>
          <xdr:col>8</xdr:col>
          <xdr:colOff>352425</xdr:colOff>
          <xdr:row>14</xdr:row>
          <xdr:rowOff>171450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14</xdr:row>
          <xdr:rowOff>175260</xdr:rowOff>
        </xdr:from>
        <xdr:to>
          <xdr:col>8</xdr:col>
          <xdr:colOff>333375</xdr:colOff>
          <xdr:row>15</xdr:row>
          <xdr:rowOff>171450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17</xdr:row>
          <xdr:rowOff>0</xdr:rowOff>
        </xdr:from>
        <xdr:to>
          <xdr:col>8</xdr:col>
          <xdr:colOff>352425</xdr:colOff>
          <xdr:row>18</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17</xdr:row>
          <xdr:rowOff>175260</xdr:rowOff>
        </xdr:from>
        <xdr:to>
          <xdr:col>8</xdr:col>
          <xdr:colOff>352425</xdr:colOff>
          <xdr:row>18</xdr:row>
          <xdr:rowOff>171450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19</xdr:row>
          <xdr:rowOff>182880</xdr:rowOff>
        </xdr:from>
        <xdr:to>
          <xdr:col>8</xdr:col>
          <xdr:colOff>352425</xdr:colOff>
          <xdr:row>21</xdr:row>
          <xdr:rowOff>1058</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182880</xdr:rowOff>
        </xdr:from>
        <xdr:to>
          <xdr:col>8</xdr:col>
          <xdr:colOff>352425</xdr:colOff>
          <xdr:row>22</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7620</xdr:rowOff>
        </xdr:from>
        <xdr:to>
          <xdr:col>8</xdr:col>
          <xdr:colOff>352425</xdr:colOff>
          <xdr:row>23</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182880</xdr:rowOff>
        </xdr:from>
        <xdr:to>
          <xdr:col>8</xdr:col>
          <xdr:colOff>352425</xdr:colOff>
          <xdr:row>24</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7620</xdr:rowOff>
        </xdr:from>
        <xdr:to>
          <xdr:col>8</xdr:col>
          <xdr:colOff>352425</xdr:colOff>
          <xdr:row>25</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175260</xdr:rowOff>
        </xdr:from>
        <xdr:to>
          <xdr:col>8</xdr:col>
          <xdr:colOff>352425</xdr:colOff>
          <xdr:row>25</xdr:row>
          <xdr:rowOff>171450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25</xdr:row>
          <xdr:rowOff>175260</xdr:rowOff>
        </xdr:from>
        <xdr:to>
          <xdr:col>8</xdr:col>
          <xdr:colOff>333375</xdr:colOff>
          <xdr:row>26</xdr:row>
          <xdr:rowOff>171450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26</xdr:row>
          <xdr:rowOff>182880</xdr:rowOff>
        </xdr:from>
        <xdr:to>
          <xdr:col>8</xdr:col>
          <xdr:colOff>352425</xdr:colOff>
          <xdr:row>28</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27</xdr:row>
          <xdr:rowOff>175260</xdr:rowOff>
        </xdr:from>
        <xdr:to>
          <xdr:col>8</xdr:col>
          <xdr:colOff>352425</xdr:colOff>
          <xdr:row>28</xdr:row>
          <xdr:rowOff>171450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28</xdr:row>
          <xdr:rowOff>175260</xdr:rowOff>
        </xdr:from>
        <xdr:to>
          <xdr:col>8</xdr:col>
          <xdr:colOff>352425</xdr:colOff>
          <xdr:row>29</xdr:row>
          <xdr:rowOff>171450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34</xdr:row>
          <xdr:rowOff>175260</xdr:rowOff>
        </xdr:from>
        <xdr:to>
          <xdr:col>8</xdr:col>
          <xdr:colOff>352425</xdr:colOff>
          <xdr:row>35</xdr:row>
          <xdr:rowOff>171450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35</xdr:row>
          <xdr:rowOff>175260</xdr:rowOff>
        </xdr:from>
        <xdr:to>
          <xdr:col>8</xdr:col>
          <xdr:colOff>352425</xdr:colOff>
          <xdr:row>36</xdr:row>
          <xdr:rowOff>171450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37</xdr:row>
          <xdr:rowOff>0</xdr:rowOff>
        </xdr:from>
        <xdr:to>
          <xdr:col>8</xdr:col>
          <xdr:colOff>352425</xdr:colOff>
          <xdr:row>38</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38</xdr:row>
          <xdr:rowOff>175260</xdr:rowOff>
        </xdr:from>
        <xdr:to>
          <xdr:col>8</xdr:col>
          <xdr:colOff>352425</xdr:colOff>
          <xdr:row>40</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39</xdr:row>
          <xdr:rowOff>175260</xdr:rowOff>
        </xdr:from>
        <xdr:to>
          <xdr:col>8</xdr:col>
          <xdr:colOff>352425</xdr:colOff>
          <xdr:row>40</xdr:row>
          <xdr:rowOff>171450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41</xdr:row>
          <xdr:rowOff>7620</xdr:rowOff>
        </xdr:from>
        <xdr:to>
          <xdr:col>8</xdr:col>
          <xdr:colOff>352425</xdr:colOff>
          <xdr:row>42</xdr:row>
          <xdr:rowOff>9525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41</xdr:row>
          <xdr:rowOff>175260</xdr:rowOff>
        </xdr:from>
        <xdr:to>
          <xdr:col>8</xdr:col>
          <xdr:colOff>352425</xdr:colOff>
          <xdr:row>42</xdr:row>
          <xdr:rowOff>171450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42</xdr:row>
          <xdr:rowOff>175260</xdr:rowOff>
        </xdr:from>
        <xdr:to>
          <xdr:col>8</xdr:col>
          <xdr:colOff>352425</xdr:colOff>
          <xdr:row>43</xdr:row>
          <xdr:rowOff>171450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44</xdr:row>
          <xdr:rowOff>175260</xdr:rowOff>
        </xdr:from>
        <xdr:to>
          <xdr:col>8</xdr:col>
          <xdr:colOff>352425</xdr:colOff>
          <xdr:row>46</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45</xdr:row>
          <xdr:rowOff>175260</xdr:rowOff>
        </xdr:from>
        <xdr:to>
          <xdr:col>8</xdr:col>
          <xdr:colOff>352425</xdr:colOff>
          <xdr:row>46</xdr:row>
          <xdr:rowOff>171450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47</xdr:row>
          <xdr:rowOff>175260</xdr:rowOff>
        </xdr:from>
        <xdr:to>
          <xdr:col>8</xdr:col>
          <xdr:colOff>352425</xdr:colOff>
          <xdr:row>49</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30</xdr:row>
          <xdr:rowOff>7620</xdr:rowOff>
        </xdr:from>
        <xdr:to>
          <xdr:col>8</xdr:col>
          <xdr:colOff>352425</xdr:colOff>
          <xdr:row>31</xdr:row>
          <xdr:rowOff>9525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xdr:row>
          <xdr:rowOff>0</xdr:rowOff>
        </xdr:from>
        <xdr:to>
          <xdr:col>8</xdr:col>
          <xdr:colOff>352425</xdr:colOff>
          <xdr:row>32</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32</xdr:row>
          <xdr:rowOff>7620</xdr:rowOff>
        </xdr:from>
        <xdr:to>
          <xdr:col>8</xdr:col>
          <xdr:colOff>352425</xdr:colOff>
          <xdr:row>33</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xdr:row>
          <xdr:rowOff>175260</xdr:rowOff>
        </xdr:from>
        <xdr:to>
          <xdr:col>8</xdr:col>
          <xdr:colOff>352425</xdr:colOff>
          <xdr:row>35</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xdr:row>
          <xdr:rowOff>182880</xdr:rowOff>
        </xdr:from>
        <xdr:to>
          <xdr:col>5</xdr:col>
          <xdr:colOff>447675</xdr:colOff>
          <xdr:row>4</xdr:row>
          <xdr:rowOff>28575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xdr:row>
          <xdr:rowOff>175260</xdr:rowOff>
        </xdr:from>
        <xdr:to>
          <xdr:col>5</xdr:col>
          <xdr:colOff>447675</xdr:colOff>
          <xdr:row>5</xdr:row>
          <xdr:rowOff>19050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xdr:row>
          <xdr:rowOff>175260</xdr:rowOff>
        </xdr:from>
        <xdr:to>
          <xdr:col>5</xdr:col>
          <xdr:colOff>447675</xdr:colOff>
          <xdr:row>6</xdr:row>
          <xdr:rowOff>19050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xdr:row>
          <xdr:rowOff>160020</xdr:rowOff>
        </xdr:from>
        <xdr:to>
          <xdr:col>5</xdr:col>
          <xdr:colOff>447675</xdr:colOff>
          <xdr:row>7</xdr:row>
          <xdr:rowOff>19050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xdr:row>
          <xdr:rowOff>160020</xdr:rowOff>
        </xdr:from>
        <xdr:to>
          <xdr:col>5</xdr:col>
          <xdr:colOff>447675</xdr:colOff>
          <xdr:row>8</xdr:row>
          <xdr:rowOff>19050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xdr:row>
          <xdr:rowOff>175260</xdr:rowOff>
        </xdr:from>
        <xdr:to>
          <xdr:col>5</xdr:col>
          <xdr:colOff>447675</xdr:colOff>
          <xdr:row>9</xdr:row>
          <xdr:rowOff>19050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xdr:row>
          <xdr:rowOff>175260</xdr:rowOff>
        </xdr:from>
        <xdr:to>
          <xdr:col>5</xdr:col>
          <xdr:colOff>447675</xdr:colOff>
          <xdr:row>11</xdr:row>
          <xdr:rowOff>28575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10</xdr:row>
          <xdr:rowOff>160020</xdr:rowOff>
        </xdr:from>
        <xdr:to>
          <xdr:col>5</xdr:col>
          <xdr:colOff>447675</xdr:colOff>
          <xdr:row>12</xdr:row>
          <xdr:rowOff>19050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12</xdr:row>
          <xdr:rowOff>0</xdr:rowOff>
        </xdr:from>
        <xdr:to>
          <xdr:col>5</xdr:col>
          <xdr:colOff>447675</xdr:colOff>
          <xdr:row>13</xdr:row>
          <xdr:rowOff>47625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12</xdr:row>
          <xdr:rowOff>175260</xdr:rowOff>
        </xdr:from>
        <xdr:to>
          <xdr:col>5</xdr:col>
          <xdr:colOff>447675</xdr:colOff>
          <xdr:row>14</xdr:row>
          <xdr:rowOff>19050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13</xdr:row>
          <xdr:rowOff>175260</xdr:rowOff>
        </xdr:from>
        <xdr:to>
          <xdr:col>5</xdr:col>
          <xdr:colOff>447675</xdr:colOff>
          <xdr:row>15</xdr:row>
          <xdr:rowOff>19050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14</xdr:row>
          <xdr:rowOff>152400</xdr:rowOff>
        </xdr:from>
        <xdr:to>
          <xdr:col>5</xdr:col>
          <xdr:colOff>447675</xdr:colOff>
          <xdr:row>16</xdr:row>
          <xdr:rowOff>9525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xdr:row>
          <xdr:rowOff>0</xdr:rowOff>
        </xdr:from>
        <xdr:to>
          <xdr:col>5</xdr:col>
          <xdr:colOff>447675</xdr:colOff>
          <xdr:row>18</xdr:row>
          <xdr:rowOff>47625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xdr:row>
          <xdr:rowOff>175260</xdr:rowOff>
        </xdr:from>
        <xdr:to>
          <xdr:col>5</xdr:col>
          <xdr:colOff>447675</xdr:colOff>
          <xdr:row>19</xdr:row>
          <xdr:rowOff>19050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xdr:row>
          <xdr:rowOff>160020</xdr:rowOff>
        </xdr:from>
        <xdr:to>
          <xdr:col>5</xdr:col>
          <xdr:colOff>447675</xdr:colOff>
          <xdr:row>21</xdr:row>
          <xdr:rowOff>9525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20</xdr:row>
          <xdr:rowOff>160020</xdr:rowOff>
        </xdr:from>
        <xdr:to>
          <xdr:col>5</xdr:col>
          <xdr:colOff>447675</xdr:colOff>
          <xdr:row>22</xdr:row>
          <xdr:rowOff>19050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xdr:row>
          <xdr:rowOff>175260</xdr:rowOff>
        </xdr:from>
        <xdr:to>
          <xdr:col>5</xdr:col>
          <xdr:colOff>447675</xdr:colOff>
          <xdr:row>23</xdr:row>
          <xdr:rowOff>19050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22</xdr:row>
          <xdr:rowOff>175260</xdr:rowOff>
        </xdr:from>
        <xdr:to>
          <xdr:col>5</xdr:col>
          <xdr:colOff>447675</xdr:colOff>
          <xdr:row>24</xdr:row>
          <xdr:rowOff>19050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xdr:row>
          <xdr:rowOff>160020</xdr:rowOff>
        </xdr:from>
        <xdr:to>
          <xdr:col>5</xdr:col>
          <xdr:colOff>447675</xdr:colOff>
          <xdr:row>25</xdr:row>
          <xdr:rowOff>19050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24</xdr:row>
          <xdr:rowOff>160020</xdr:rowOff>
        </xdr:from>
        <xdr:to>
          <xdr:col>5</xdr:col>
          <xdr:colOff>447675</xdr:colOff>
          <xdr:row>26</xdr:row>
          <xdr:rowOff>19050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xdr:row>
          <xdr:rowOff>175260</xdr:rowOff>
        </xdr:from>
        <xdr:to>
          <xdr:col>5</xdr:col>
          <xdr:colOff>447675</xdr:colOff>
          <xdr:row>27</xdr:row>
          <xdr:rowOff>19050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26</xdr:row>
          <xdr:rowOff>182880</xdr:rowOff>
        </xdr:from>
        <xdr:to>
          <xdr:col>5</xdr:col>
          <xdr:colOff>447675</xdr:colOff>
          <xdr:row>28</xdr:row>
          <xdr:rowOff>28575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27</xdr:row>
          <xdr:rowOff>175260</xdr:rowOff>
        </xdr:from>
        <xdr:to>
          <xdr:col>5</xdr:col>
          <xdr:colOff>447675</xdr:colOff>
          <xdr:row>29</xdr:row>
          <xdr:rowOff>19050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28</xdr:row>
          <xdr:rowOff>175260</xdr:rowOff>
        </xdr:from>
        <xdr:to>
          <xdr:col>5</xdr:col>
          <xdr:colOff>447675</xdr:colOff>
          <xdr:row>30</xdr:row>
          <xdr:rowOff>19050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29</xdr:row>
          <xdr:rowOff>175260</xdr:rowOff>
        </xdr:from>
        <xdr:to>
          <xdr:col>5</xdr:col>
          <xdr:colOff>447675</xdr:colOff>
          <xdr:row>31</xdr:row>
          <xdr:rowOff>19050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30</xdr:row>
          <xdr:rowOff>152400</xdr:rowOff>
        </xdr:from>
        <xdr:to>
          <xdr:col>5</xdr:col>
          <xdr:colOff>447675</xdr:colOff>
          <xdr:row>32</xdr:row>
          <xdr:rowOff>9525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31</xdr:row>
          <xdr:rowOff>175260</xdr:rowOff>
        </xdr:from>
        <xdr:to>
          <xdr:col>5</xdr:col>
          <xdr:colOff>447675</xdr:colOff>
          <xdr:row>33</xdr:row>
          <xdr:rowOff>19050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33</xdr:row>
          <xdr:rowOff>175260</xdr:rowOff>
        </xdr:from>
        <xdr:to>
          <xdr:col>5</xdr:col>
          <xdr:colOff>447675</xdr:colOff>
          <xdr:row>35</xdr:row>
          <xdr:rowOff>28575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34</xdr:row>
          <xdr:rowOff>182880</xdr:rowOff>
        </xdr:from>
        <xdr:to>
          <xdr:col>5</xdr:col>
          <xdr:colOff>447675</xdr:colOff>
          <xdr:row>36</xdr:row>
          <xdr:rowOff>28575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35</xdr:row>
          <xdr:rowOff>182880</xdr:rowOff>
        </xdr:from>
        <xdr:to>
          <xdr:col>5</xdr:col>
          <xdr:colOff>447675</xdr:colOff>
          <xdr:row>37</xdr:row>
          <xdr:rowOff>28575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36</xdr:row>
          <xdr:rowOff>175260</xdr:rowOff>
        </xdr:from>
        <xdr:to>
          <xdr:col>5</xdr:col>
          <xdr:colOff>447675</xdr:colOff>
          <xdr:row>38</xdr:row>
          <xdr:rowOff>19050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38</xdr:row>
          <xdr:rowOff>175260</xdr:rowOff>
        </xdr:from>
        <xdr:to>
          <xdr:col>5</xdr:col>
          <xdr:colOff>447675</xdr:colOff>
          <xdr:row>40</xdr:row>
          <xdr:rowOff>28575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39</xdr:row>
          <xdr:rowOff>152400</xdr:rowOff>
        </xdr:from>
        <xdr:to>
          <xdr:col>5</xdr:col>
          <xdr:colOff>447675</xdr:colOff>
          <xdr:row>41</xdr:row>
          <xdr:rowOff>9525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40</xdr:row>
          <xdr:rowOff>175260</xdr:rowOff>
        </xdr:from>
        <xdr:to>
          <xdr:col>5</xdr:col>
          <xdr:colOff>447675</xdr:colOff>
          <xdr:row>42</xdr:row>
          <xdr:rowOff>19050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41</xdr:row>
          <xdr:rowOff>175260</xdr:rowOff>
        </xdr:from>
        <xdr:to>
          <xdr:col>5</xdr:col>
          <xdr:colOff>447675</xdr:colOff>
          <xdr:row>43</xdr:row>
          <xdr:rowOff>19050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42</xdr:row>
          <xdr:rowOff>175260</xdr:rowOff>
        </xdr:from>
        <xdr:to>
          <xdr:col>5</xdr:col>
          <xdr:colOff>447675</xdr:colOff>
          <xdr:row>44</xdr:row>
          <xdr:rowOff>19050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44</xdr:row>
          <xdr:rowOff>182880</xdr:rowOff>
        </xdr:from>
        <xdr:to>
          <xdr:col>5</xdr:col>
          <xdr:colOff>447675</xdr:colOff>
          <xdr:row>46</xdr:row>
          <xdr:rowOff>28575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45</xdr:row>
          <xdr:rowOff>175260</xdr:rowOff>
        </xdr:from>
        <xdr:to>
          <xdr:col>5</xdr:col>
          <xdr:colOff>447675</xdr:colOff>
          <xdr:row>47</xdr:row>
          <xdr:rowOff>19050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47</xdr:row>
          <xdr:rowOff>175260</xdr:rowOff>
        </xdr:from>
        <xdr:to>
          <xdr:col>5</xdr:col>
          <xdr:colOff>447675</xdr:colOff>
          <xdr:row>49</xdr:row>
          <xdr:rowOff>28575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xdr:row>
          <xdr:rowOff>190500</xdr:rowOff>
        </xdr:from>
        <xdr:to>
          <xdr:col>10</xdr:col>
          <xdr:colOff>438150</xdr:colOff>
          <xdr:row>4</xdr:row>
          <xdr:rowOff>28575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1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xdr:row>
          <xdr:rowOff>160020</xdr:rowOff>
        </xdr:from>
        <xdr:to>
          <xdr:col>10</xdr:col>
          <xdr:colOff>438150</xdr:colOff>
          <xdr:row>5</xdr:row>
          <xdr:rowOff>9525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4</xdr:row>
          <xdr:rowOff>160020</xdr:rowOff>
        </xdr:from>
        <xdr:to>
          <xdr:col>10</xdr:col>
          <xdr:colOff>438150</xdr:colOff>
          <xdr:row>6</xdr:row>
          <xdr:rowOff>9525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xdr:row>
          <xdr:rowOff>152400</xdr:rowOff>
        </xdr:from>
        <xdr:to>
          <xdr:col>10</xdr:col>
          <xdr:colOff>438150</xdr:colOff>
          <xdr:row>7</xdr:row>
          <xdr:rowOff>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xdr:row>
          <xdr:rowOff>144780</xdr:rowOff>
        </xdr:from>
        <xdr:to>
          <xdr:col>10</xdr:col>
          <xdr:colOff>438150</xdr:colOff>
          <xdr:row>7</xdr:row>
          <xdr:rowOff>171450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7</xdr:row>
          <xdr:rowOff>175260</xdr:rowOff>
        </xdr:from>
        <xdr:to>
          <xdr:col>10</xdr:col>
          <xdr:colOff>438150</xdr:colOff>
          <xdr:row>9</xdr:row>
          <xdr:rowOff>19050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9</xdr:row>
          <xdr:rowOff>160020</xdr:rowOff>
        </xdr:from>
        <xdr:to>
          <xdr:col>10</xdr:col>
          <xdr:colOff>438150</xdr:colOff>
          <xdr:row>11</xdr:row>
          <xdr:rowOff>28575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10</xdr:row>
          <xdr:rowOff>160020</xdr:rowOff>
        </xdr:from>
        <xdr:to>
          <xdr:col>10</xdr:col>
          <xdr:colOff>438150</xdr:colOff>
          <xdr:row>12</xdr:row>
          <xdr:rowOff>9525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11</xdr:row>
          <xdr:rowOff>175260</xdr:rowOff>
        </xdr:from>
        <xdr:to>
          <xdr:col>10</xdr:col>
          <xdr:colOff>438150</xdr:colOff>
          <xdr:row>13</xdr:row>
          <xdr:rowOff>19050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12</xdr:row>
          <xdr:rowOff>182880</xdr:rowOff>
        </xdr:from>
        <xdr:to>
          <xdr:col>10</xdr:col>
          <xdr:colOff>438150</xdr:colOff>
          <xdr:row>14</xdr:row>
          <xdr:rowOff>19050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13</xdr:row>
          <xdr:rowOff>152400</xdr:rowOff>
        </xdr:from>
        <xdr:to>
          <xdr:col>10</xdr:col>
          <xdr:colOff>438150</xdr:colOff>
          <xdr:row>15</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14</xdr:row>
          <xdr:rowOff>160020</xdr:rowOff>
        </xdr:from>
        <xdr:to>
          <xdr:col>10</xdr:col>
          <xdr:colOff>438150</xdr:colOff>
          <xdr:row>16</xdr:row>
          <xdr:rowOff>9525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17</xdr:row>
          <xdr:rowOff>0</xdr:rowOff>
        </xdr:from>
        <xdr:to>
          <xdr:col>10</xdr:col>
          <xdr:colOff>438150</xdr:colOff>
          <xdr:row>18</xdr:row>
          <xdr:rowOff>28575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17</xdr:row>
          <xdr:rowOff>160020</xdr:rowOff>
        </xdr:from>
        <xdr:to>
          <xdr:col>10</xdr:col>
          <xdr:colOff>438150</xdr:colOff>
          <xdr:row>19</xdr:row>
          <xdr:rowOff>9525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19</xdr:row>
          <xdr:rowOff>175260</xdr:rowOff>
        </xdr:from>
        <xdr:to>
          <xdr:col>10</xdr:col>
          <xdr:colOff>438150</xdr:colOff>
          <xdr:row>21</xdr:row>
          <xdr:rowOff>19050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20</xdr:row>
          <xdr:rowOff>160020</xdr:rowOff>
        </xdr:from>
        <xdr:to>
          <xdr:col>10</xdr:col>
          <xdr:colOff>438150</xdr:colOff>
          <xdr:row>22</xdr:row>
          <xdr:rowOff>9525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1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21</xdr:row>
          <xdr:rowOff>152400</xdr:rowOff>
        </xdr:from>
        <xdr:to>
          <xdr:col>10</xdr:col>
          <xdr:colOff>438150</xdr:colOff>
          <xdr:row>23</xdr:row>
          <xdr:rowOff>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1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22</xdr:row>
          <xdr:rowOff>160020</xdr:rowOff>
        </xdr:from>
        <xdr:to>
          <xdr:col>10</xdr:col>
          <xdr:colOff>438150</xdr:colOff>
          <xdr:row>24</xdr:row>
          <xdr:rowOff>9525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23</xdr:row>
          <xdr:rowOff>160020</xdr:rowOff>
        </xdr:from>
        <xdr:to>
          <xdr:col>10</xdr:col>
          <xdr:colOff>438150</xdr:colOff>
          <xdr:row>25</xdr:row>
          <xdr:rowOff>9525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24</xdr:row>
          <xdr:rowOff>152400</xdr:rowOff>
        </xdr:from>
        <xdr:to>
          <xdr:col>10</xdr:col>
          <xdr:colOff>438150</xdr:colOff>
          <xdr:row>26</xdr:row>
          <xdr:rowOff>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1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38</xdr:row>
          <xdr:rowOff>175260</xdr:rowOff>
        </xdr:from>
        <xdr:to>
          <xdr:col>10</xdr:col>
          <xdr:colOff>438150</xdr:colOff>
          <xdr:row>40</xdr:row>
          <xdr:rowOff>28575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1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25</xdr:row>
          <xdr:rowOff>175260</xdr:rowOff>
        </xdr:from>
        <xdr:to>
          <xdr:col>10</xdr:col>
          <xdr:colOff>438150</xdr:colOff>
          <xdr:row>27</xdr:row>
          <xdr:rowOff>19050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1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26</xdr:row>
          <xdr:rowOff>175260</xdr:rowOff>
        </xdr:from>
        <xdr:to>
          <xdr:col>10</xdr:col>
          <xdr:colOff>438150</xdr:colOff>
          <xdr:row>28</xdr:row>
          <xdr:rowOff>19050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27</xdr:row>
          <xdr:rowOff>175260</xdr:rowOff>
        </xdr:from>
        <xdr:to>
          <xdr:col>10</xdr:col>
          <xdr:colOff>438150</xdr:colOff>
          <xdr:row>29</xdr:row>
          <xdr:rowOff>19050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1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28</xdr:row>
          <xdr:rowOff>175260</xdr:rowOff>
        </xdr:from>
        <xdr:to>
          <xdr:col>10</xdr:col>
          <xdr:colOff>438150</xdr:colOff>
          <xdr:row>30</xdr:row>
          <xdr:rowOff>19050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1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29</xdr:row>
          <xdr:rowOff>175260</xdr:rowOff>
        </xdr:from>
        <xdr:to>
          <xdr:col>10</xdr:col>
          <xdr:colOff>438150</xdr:colOff>
          <xdr:row>31</xdr:row>
          <xdr:rowOff>9525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1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30</xdr:row>
          <xdr:rowOff>175260</xdr:rowOff>
        </xdr:from>
        <xdr:to>
          <xdr:col>10</xdr:col>
          <xdr:colOff>438150</xdr:colOff>
          <xdr:row>32</xdr:row>
          <xdr:rowOff>9525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1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31</xdr:row>
          <xdr:rowOff>175260</xdr:rowOff>
        </xdr:from>
        <xdr:to>
          <xdr:col>10</xdr:col>
          <xdr:colOff>438150</xdr:colOff>
          <xdr:row>33</xdr:row>
          <xdr:rowOff>19050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1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33</xdr:row>
          <xdr:rowOff>152400</xdr:rowOff>
        </xdr:from>
        <xdr:to>
          <xdr:col>10</xdr:col>
          <xdr:colOff>438150</xdr:colOff>
          <xdr:row>35</xdr:row>
          <xdr:rowOff>28575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1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34</xdr:row>
          <xdr:rowOff>152400</xdr:rowOff>
        </xdr:from>
        <xdr:to>
          <xdr:col>10</xdr:col>
          <xdr:colOff>438150</xdr:colOff>
          <xdr:row>36</xdr:row>
          <xdr:rowOff>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1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35</xdr:row>
          <xdr:rowOff>175260</xdr:rowOff>
        </xdr:from>
        <xdr:to>
          <xdr:col>10</xdr:col>
          <xdr:colOff>438150</xdr:colOff>
          <xdr:row>37</xdr:row>
          <xdr:rowOff>9525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36</xdr:row>
          <xdr:rowOff>175260</xdr:rowOff>
        </xdr:from>
        <xdr:to>
          <xdr:col>10</xdr:col>
          <xdr:colOff>438150</xdr:colOff>
          <xdr:row>38</xdr:row>
          <xdr:rowOff>19050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39</xdr:row>
          <xdr:rowOff>175260</xdr:rowOff>
        </xdr:from>
        <xdr:to>
          <xdr:col>10</xdr:col>
          <xdr:colOff>438150</xdr:colOff>
          <xdr:row>41</xdr:row>
          <xdr:rowOff>19050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40</xdr:row>
          <xdr:rowOff>175260</xdr:rowOff>
        </xdr:from>
        <xdr:to>
          <xdr:col>10</xdr:col>
          <xdr:colOff>438150</xdr:colOff>
          <xdr:row>42</xdr:row>
          <xdr:rowOff>9525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41</xdr:row>
          <xdr:rowOff>175260</xdr:rowOff>
        </xdr:from>
        <xdr:to>
          <xdr:col>10</xdr:col>
          <xdr:colOff>438150</xdr:colOff>
          <xdr:row>43</xdr:row>
          <xdr:rowOff>19050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42</xdr:row>
          <xdr:rowOff>175260</xdr:rowOff>
        </xdr:from>
        <xdr:to>
          <xdr:col>10</xdr:col>
          <xdr:colOff>438150</xdr:colOff>
          <xdr:row>44</xdr:row>
          <xdr:rowOff>9525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44</xdr:row>
          <xdr:rowOff>175260</xdr:rowOff>
        </xdr:from>
        <xdr:to>
          <xdr:col>10</xdr:col>
          <xdr:colOff>438150</xdr:colOff>
          <xdr:row>46</xdr:row>
          <xdr:rowOff>19050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45</xdr:row>
          <xdr:rowOff>175260</xdr:rowOff>
        </xdr:from>
        <xdr:to>
          <xdr:col>10</xdr:col>
          <xdr:colOff>438150</xdr:colOff>
          <xdr:row>47</xdr:row>
          <xdr:rowOff>19050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1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47</xdr:row>
          <xdr:rowOff>182880</xdr:rowOff>
        </xdr:from>
        <xdr:to>
          <xdr:col>10</xdr:col>
          <xdr:colOff>438150</xdr:colOff>
          <xdr:row>49</xdr:row>
          <xdr:rowOff>19050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1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48</xdr:row>
          <xdr:rowOff>160020</xdr:rowOff>
        </xdr:from>
        <xdr:to>
          <xdr:col>3</xdr:col>
          <xdr:colOff>352425</xdr:colOff>
          <xdr:row>49</xdr:row>
          <xdr:rowOff>161925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1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49</xdr:row>
          <xdr:rowOff>152400</xdr:rowOff>
        </xdr:from>
        <xdr:to>
          <xdr:col>3</xdr:col>
          <xdr:colOff>333375</xdr:colOff>
          <xdr:row>50</xdr:row>
          <xdr:rowOff>152400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48</xdr:row>
          <xdr:rowOff>175260</xdr:rowOff>
        </xdr:from>
        <xdr:to>
          <xdr:col>5</xdr:col>
          <xdr:colOff>447675</xdr:colOff>
          <xdr:row>50</xdr:row>
          <xdr:rowOff>19050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49</xdr:row>
          <xdr:rowOff>160020</xdr:rowOff>
        </xdr:from>
        <xdr:to>
          <xdr:col>5</xdr:col>
          <xdr:colOff>447675</xdr:colOff>
          <xdr:row>51</xdr:row>
          <xdr:rowOff>9525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48</xdr:row>
          <xdr:rowOff>175260</xdr:rowOff>
        </xdr:from>
        <xdr:to>
          <xdr:col>8</xdr:col>
          <xdr:colOff>352425</xdr:colOff>
          <xdr:row>49</xdr:row>
          <xdr:rowOff>171450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1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49</xdr:row>
          <xdr:rowOff>175260</xdr:rowOff>
        </xdr:from>
        <xdr:to>
          <xdr:col>8</xdr:col>
          <xdr:colOff>352425</xdr:colOff>
          <xdr:row>50</xdr:row>
          <xdr:rowOff>171450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1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48</xdr:row>
          <xdr:rowOff>182880</xdr:rowOff>
        </xdr:from>
        <xdr:to>
          <xdr:col>10</xdr:col>
          <xdr:colOff>438150</xdr:colOff>
          <xdr:row>50</xdr:row>
          <xdr:rowOff>19050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1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49</xdr:row>
          <xdr:rowOff>182880</xdr:rowOff>
        </xdr:from>
        <xdr:to>
          <xdr:col>10</xdr:col>
          <xdr:colOff>438150</xdr:colOff>
          <xdr:row>51</xdr:row>
          <xdr:rowOff>19050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1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3</xdr:row>
          <xdr:rowOff>175260</xdr:rowOff>
        </xdr:from>
        <xdr:to>
          <xdr:col>0</xdr:col>
          <xdr:colOff>523875</xdr:colOff>
          <xdr:row>5</xdr:row>
          <xdr:rowOff>19050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1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18</xdr:row>
          <xdr:rowOff>160020</xdr:rowOff>
        </xdr:from>
        <xdr:to>
          <xdr:col>3</xdr:col>
          <xdr:colOff>352425</xdr:colOff>
          <xdr:row>19</xdr:row>
          <xdr:rowOff>161925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1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xdr:row>
          <xdr:rowOff>152400</xdr:rowOff>
        </xdr:from>
        <xdr:to>
          <xdr:col>5</xdr:col>
          <xdr:colOff>447675</xdr:colOff>
          <xdr:row>20</xdr:row>
          <xdr:rowOff>1058</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18</xdr:row>
          <xdr:rowOff>175260</xdr:rowOff>
        </xdr:from>
        <xdr:to>
          <xdr:col>8</xdr:col>
          <xdr:colOff>352425</xdr:colOff>
          <xdr:row>19</xdr:row>
          <xdr:rowOff>171450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1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18</xdr:row>
          <xdr:rowOff>160020</xdr:rowOff>
        </xdr:from>
        <xdr:to>
          <xdr:col>10</xdr:col>
          <xdr:colOff>438150</xdr:colOff>
          <xdr:row>20</xdr:row>
          <xdr:rowOff>9525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59266</xdr:colOff>
      <xdr:row>63</xdr:row>
      <xdr:rowOff>33866</xdr:rowOff>
    </xdr:from>
    <xdr:to>
      <xdr:col>2</xdr:col>
      <xdr:colOff>383539</xdr:colOff>
      <xdr:row>66</xdr:row>
      <xdr:rowOff>173273</xdr:rowOff>
    </xdr:to>
    <xdr:pic>
      <xdr:nvPicPr>
        <xdr:cNvPr id="172" name="Grafik 171">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
        <a:stretch>
          <a:fillRect/>
        </a:stretch>
      </xdr:blipFill>
      <xdr:spPr>
        <a:xfrm>
          <a:off x="59266" y="10244666"/>
          <a:ext cx="1348740" cy="7020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160020</xdr:colOff>
          <xdr:row>52</xdr:row>
          <xdr:rowOff>7620</xdr:rowOff>
        </xdr:from>
        <xdr:to>
          <xdr:col>3</xdr:col>
          <xdr:colOff>333375</xdr:colOff>
          <xdr:row>53</xdr:row>
          <xdr:rowOff>9525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52</xdr:row>
          <xdr:rowOff>175260</xdr:rowOff>
        </xdr:from>
        <xdr:to>
          <xdr:col>3</xdr:col>
          <xdr:colOff>333375</xdr:colOff>
          <xdr:row>53</xdr:row>
          <xdr:rowOff>171450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53</xdr:row>
          <xdr:rowOff>144780</xdr:rowOff>
        </xdr:from>
        <xdr:to>
          <xdr:col>3</xdr:col>
          <xdr:colOff>333375</xdr:colOff>
          <xdr:row>54</xdr:row>
          <xdr:rowOff>142875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54</xdr:row>
          <xdr:rowOff>152400</xdr:rowOff>
        </xdr:from>
        <xdr:to>
          <xdr:col>3</xdr:col>
          <xdr:colOff>333375</xdr:colOff>
          <xdr:row>55</xdr:row>
          <xdr:rowOff>152400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1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52</xdr:row>
          <xdr:rowOff>7620</xdr:rowOff>
        </xdr:from>
        <xdr:to>
          <xdr:col>5</xdr:col>
          <xdr:colOff>447675</xdr:colOff>
          <xdr:row>53</xdr:row>
          <xdr:rowOff>38100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1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52</xdr:row>
          <xdr:rowOff>182880</xdr:rowOff>
        </xdr:from>
        <xdr:to>
          <xdr:col>5</xdr:col>
          <xdr:colOff>447675</xdr:colOff>
          <xdr:row>54</xdr:row>
          <xdr:rowOff>28575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54</xdr:row>
          <xdr:rowOff>0</xdr:rowOff>
        </xdr:from>
        <xdr:to>
          <xdr:col>5</xdr:col>
          <xdr:colOff>447675</xdr:colOff>
          <xdr:row>55</xdr:row>
          <xdr:rowOff>38100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54</xdr:row>
          <xdr:rowOff>160020</xdr:rowOff>
        </xdr:from>
        <xdr:to>
          <xdr:col>5</xdr:col>
          <xdr:colOff>447675</xdr:colOff>
          <xdr:row>56</xdr:row>
          <xdr:rowOff>19050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1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52</xdr:row>
          <xdr:rowOff>22860</xdr:rowOff>
        </xdr:from>
        <xdr:to>
          <xdr:col>8</xdr:col>
          <xdr:colOff>352425</xdr:colOff>
          <xdr:row>53</xdr:row>
          <xdr:rowOff>19050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1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53</xdr:row>
          <xdr:rowOff>7620</xdr:rowOff>
        </xdr:from>
        <xdr:to>
          <xdr:col>8</xdr:col>
          <xdr:colOff>352425</xdr:colOff>
          <xdr:row>54</xdr:row>
          <xdr:rowOff>19050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1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53</xdr:row>
          <xdr:rowOff>175260</xdr:rowOff>
        </xdr:from>
        <xdr:to>
          <xdr:col>8</xdr:col>
          <xdr:colOff>352425</xdr:colOff>
          <xdr:row>54</xdr:row>
          <xdr:rowOff>171450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1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54</xdr:row>
          <xdr:rowOff>175260</xdr:rowOff>
        </xdr:from>
        <xdr:to>
          <xdr:col>8</xdr:col>
          <xdr:colOff>352425</xdr:colOff>
          <xdr:row>55</xdr:row>
          <xdr:rowOff>171450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51</xdr:row>
          <xdr:rowOff>30480</xdr:rowOff>
        </xdr:from>
        <xdr:to>
          <xdr:col>10</xdr:col>
          <xdr:colOff>438150</xdr:colOff>
          <xdr:row>53</xdr:row>
          <xdr:rowOff>19050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52</xdr:row>
          <xdr:rowOff>175260</xdr:rowOff>
        </xdr:from>
        <xdr:to>
          <xdr:col>10</xdr:col>
          <xdr:colOff>438150</xdr:colOff>
          <xdr:row>54</xdr:row>
          <xdr:rowOff>19050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1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53</xdr:row>
          <xdr:rowOff>175260</xdr:rowOff>
        </xdr:from>
        <xdr:to>
          <xdr:col>10</xdr:col>
          <xdr:colOff>438150</xdr:colOff>
          <xdr:row>55</xdr:row>
          <xdr:rowOff>9525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54</xdr:row>
          <xdr:rowOff>160020</xdr:rowOff>
        </xdr:from>
        <xdr:to>
          <xdr:col>10</xdr:col>
          <xdr:colOff>438150</xdr:colOff>
          <xdr:row>56</xdr:row>
          <xdr:rowOff>1059</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297180</xdr:colOff>
          <xdr:row>7</xdr:row>
          <xdr:rowOff>175260</xdr:rowOff>
        </xdr:from>
        <xdr:to>
          <xdr:col>0</xdr:col>
          <xdr:colOff>563880</xdr:colOff>
          <xdr:row>8</xdr:row>
          <xdr:rowOff>190500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99060</xdr:colOff>
      <xdr:row>30</xdr:row>
      <xdr:rowOff>0</xdr:rowOff>
    </xdr:from>
    <xdr:to>
      <xdr:col>1</xdr:col>
      <xdr:colOff>424815</xdr:colOff>
      <xdr:row>34</xdr:row>
      <xdr:rowOff>26670</xdr:rowOff>
    </xdr:to>
    <xdr:pic>
      <xdr:nvPicPr>
        <xdr:cNvPr id="3" name="Bild 1">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rcRect/>
        <a:stretch>
          <a:fillRect/>
        </a:stretch>
      </xdr:blipFill>
      <xdr:spPr bwMode="auto">
        <a:xfrm>
          <a:off x="99060" y="6172200"/>
          <a:ext cx="1285875" cy="8191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754380</xdr:colOff>
          <xdr:row>2</xdr:row>
          <xdr:rowOff>190500</xdr:rowOff>
        </xdr:from>
        <xdr:to>
          <xdr:col>0</xdr:col>
          <xdr:colOff>1021080</xdr:colOff>
          <xdr:row>4</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28</xdr:row>
          <xdr:rowOff>335280</xdr:rowOff>
        </xdr:from>
        <xdr:to>
          <xdr:col>3</xdr:col>
          <xdr:colOff>937260</xdr:colOff>
          <xdr:row>29</xdr:row>
          <xdr:rowOff>175260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29</xdr:row>
          <xdr:rowOff>144780</xdr:rowOff>
        </xdr:from>
        <xdr:to>
          <xdr:col>3</xdr:col>
          <xdr:colOff>944880</xdr:colOff>
          <xdr:row>30</xdr:row>
          <xdr:rowOff>160020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937260</xdr:colOff>
          <xdr:row>28</xdr:row>
          <xdr:rowOff>342900</xdr:rowOff>
        </xdr:from>
        <xdr:to>
          <xdr:col>4</xdr:col>
          <xdr:colOff>1203960</xdr:colOff>
          <xdr:row>29</xdr:row>
          <xdr:rowOff>175260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937260</xdr:colOff>
          <xdr:row>29</xdr:row>
          <xdr:rowOff>144780</xdr:rowOff>
        </xdr:from>
        <xdr:to>
          <xdr:col>4</xdr:col>
          <xdr:colOff>1203960</xdr:colOff>
          <xdr:row>30</xdr:row>
          <xdr:rowOff>160020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47625</xdr:colOff>
      <xdr:row>37</xdr:row>
      <xdr:rowOff>95250</xdr:rowOff>
    </xdr:from>
    <xdr:to>
      <xdr:col>0</xdr:col>
      <xdr:colOff>1396365</xdr:colOff>
      <xdr:row>41</xdr:row>
      <xdr:rowOff>1250</xdr:rowOff>
    </xdr:to>
    <xdr:pic>
      <xdr:nvPicPr>
        <xdr:cNvPr id="8" name="Grafik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47625" y="7962900"/>
          <a:ext cx="1348740" cy="7020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42334</xdr:colOff>
      <xdr:row>31</xdr:row>
      <xdr:rowOff>33867</xdr:rowOff>
    </xdr:from>
    <xdr:to>
      <xdr:col>1</xdr:col>
      <xdr:colOff>1154007</xdr:colOff>
      <xdr:row>34</xdr:row>
      <xdr:rowOff>177085</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2334" y="5477934"/>
          <a:ext cx="1348740" cy="7020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1249680</xdr:colOff>
          <xdr:row>6</xdr:row>
          <xdr:rowOff>137160</xdr:rowOff>
        </xdr:from>
        <xdr:to>
          <xdr:col>1</xdr:col>
          <xdr:colOff>1503045</xdr:colOff>
          <xdr:row>7</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43544</xdr:colOff>
      <xdr:row>172</xdr:row>
      <xdr:rowOff>43543</xdr:rowOff>
    </xdr:from>
    <xdr:to>
      <xdr:col>1</xdr:col>
      <xdr:colOff>1200151</xdr:colOff>
      <xdr:row>176</xdr:row>
      <xdr:rowOff>16763</xdr:rowOff>
    </xdr:to>
    <xdr:pic>
      <xdr:nvPicPr>
        <xdr:cNvPr id="4" name="Grafik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43544" y="32885743"/>
          <a:ext cx="1348740" cy="70201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saller@lfl.bayern.de" TargetMode="Externa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8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1.xml"/><Relationship Id="rId3" Type="http://schemas.openxmlformats.org/officeDocument/2006/relationships/vmlDrawing" Target="../drawings/vmlDrawing3.vml"/><Relationship Id="rId7" Type="http://schemas.openxmlformats.org/officeDocument/2006/relationships/ctrlProp" Target="../ctrlProps/ctrlProp19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9.xml"/><Relationship Id="rId5" Type="http://schemas.openxmlformats.org/officeDocument/2006/relationships/ctrlProp" Target="../ctrlProps/ctrlProp188.xml"/><Relationship Id="rId4" Type="http://schemas.openxmlformats.org/officeDocument/2006/relationships/ctrlProp" Target="../ctrlProps/ctrlProp18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ctrlProp" Target="../ctrlProps/ctrlProp19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15ACF-F08F-4577-A283-B7248BC8B0ED}">
  <dimension ref="A2:D27"/>
  <sheetViews>
    <sheetView showGridLines="0" workbookViewId="0">
      <selection activeCell="A27" sqref="A27"/>
    </sheetView>
  </sheetViews>
  <sheetFormatPr baseColWidth="10" defaultRowHeight="14.4" x14ac:dyDescent="0.3"/>
  <cols>
    <col min="1" max="1" width="11.88671875" customWidth="1"/>
    <col min="2" max="2" width="11.6640625" customWidth="1"/>
    <col min="3" max="3" width="7.33203125" customWidth="1"/>
  </cols>
  <sheetData>
    <row r="2" spans="1:4" x14ac:dyDescent="0.3">
      <c r="A2" s="28" t="s">
        <v>339</v>
      </c>
    </row>
    <row r="4" spans="1:4" x14ac:dyDescent="0.3">
      <c r="A4" s="491" t="s">
        <v>327</v>
      </c>
      <c r="D4" t="s">
        <v>340</v>
      </c>
    </row>
    <row r="5" spans="1:4" x14ac:dyDescent="0.3">
      <c r="A5" s="491" t="s">
        <v>328</v>
      </c>
      <c r="D5" t="s">
        <v>329</v>
      </c>
    </row>
    <row r="6" spans="1:4" x14ac:dyDescent="0.3">
      <c r="A6" s="491" t="s">
        <v>330</v>
      </c>
      <c r="D6" t="s">
        <v>333</v>
      </c>
    </row>
    <row r="7" spans="1:4" x14ac:dyDescent="0.3">
      <c r="A7" s="491" t="s">
        <v>331</v>
      </c>
      <c r="D7" t="s">
        <v>332</v>
      </c>
    </row>
    <row r="8" spans="1:4" x14ac:dyDescent="0.3">
      <c r="A8" s="491" t="s">
        <v>334</v>
      </c>
      <c r="D8" t="s">
        <v>335</v>
      </c>
    </row>
    <row r="10" spans="1:4" x14ac:dyDescent="0.3">
      <c r="A10" s="492" t="s">
        <v>336</v>
      </c>
    </row>
    <row r="12" spans="1:4" x14ac:dyDescent="0.3">
      <c r="A12" s="495" t="s">
        <v>319</v>
      </c>
    </row>
    <row r="13" spans="1:4" x14ac:dyDescent="0.3">
      <c r="A13" s="494" t="s">
        <v>320</v>
      </c>
    </row>
    <row r="14" spans="1:4" x14ac:dyDescent="0.3">
      <c r="A14" s="492" t="s">
        <v>321</v>
      </c>
    </row>
    <row r="15" spans="1:4" x14ac:dyDescent="0.3">
      <c r="A15" s="492" t="s">
        <v>344</v>
      </c>
    </row>
    <row r="16" spans="1:4" x14ac:dyDescent="0.3">
      <c r="A16" s="492" t="s">
        <v>322</v>
      </c>
    </row>
    <row r="17" spans="1:1" x14ac:dyDescent="0.3">
      <c r="A17" s="492" t="s">
        <v>323</v>
      </c>
    </row>
    <row r="18" spans="1:1" x14ac:dyDescent="0.3">
      <c r="A18" s="492" t="s">
        <v>324</v>
      </c>
    </row>
    <row r="19" spans="1:1" x14ac:dyDescent="0.3">
      <c r="A19" s="492" t="s">
        <v>325</v>
      </c>
    </row>
    <row r="20" spans="1:1" x14ac:dyDescent="0.3">
      <c r="A20" s="493" t="s">
        <v>326</v>
      </c>
    </row>
    <row r="21" spans="1:1" x14ac:dyDescent="0.3">
      <c r="A21" s="493"/>
    </row>
    <row r="22" spans="1:1" x14ac:dyDescent="0.3">
      <c r="A22" s="493"/>
    </row>
    <row r="23" spans="1:1" x14ac:dyDescent="0.3">
      <c r="A23" s="493"/>
    </row>
    <row r="24" spans="1:1" x14ac:dyDescent="0.3">
      <c r="A24" s="493"/>
    </row>
    <row r="25" spans="1:1" x14ac:dyDescent="0.3">
      <c r="A25" s="493"/>
    </row>
    <row r="27" spans="1:1" x14ac:dyDescent="0.3">
      <c r="A27" s="28" t="s">
        <v>345</v>
      </c>
    </row>
  </sheetData>
  <sheetProtection algorithmName="SHA-512" hashValue="Dh3pG5/Otdd52HS0IJSntvK0Put0vzV19MbEiCsjX+WQJfH24eAmORwUsEzwjVB4jcCuOet75YM/gMWaO+FBcg==" saltValue="p9BPmWqOlsKGtHXOf1CQrQ==" spinCount="100000" sheet="1" objects="1" scenarios="1"/>
  <hyperlinks>
    <hyperlink ref="A20" r:id="rId1" display="mailto:julia.saller@lfl.bayern.de" xr:uid="{85D859DB-DAD5-4C55-8D80-D02785A913A3}"/>
  </hyperlinks>
  <pageMargins left="0.70866141732283472" right="0.70866141732283472" top="0.78740157480314965" bottom="0.78740157480314965" header="0.31496062992125984" footer="0.31496062992125984"/>
  <pageSetup paperSize="9" scale="90" orientation="landscape" horizontalDpi="3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pageSetUpPr fitToPage="1"/>
  </sheetPr>
  <dimension ref="A1:Y1194"/>
  <sheetViews>
    <sheetView showGridLines="0" topLeftCell="A4" zoomScale="90" zoomScaleNormal="90" workbookViewId="0">
      <selection activeCell="D4" sqref="D4"/>
    </sheetView>
  </sheetViews>
  <sheetFormatPr baseColWidth="10" defaultRowHeight="14.4" x14ac:dyDescent="0.3"/>
  <cols>
    <col min="1" max="1" width="12.88671875" customWidth="1"/>
    <col min="2" max="2" width="2.109375" customWidth="1"/>
    <col min="3" max="3" width="32.6640625" customWidth="1"/>
    <col min="4" max="4" width="9.33203125" customWidth="1"/>
    <col min="5" max="5" width="11.5546875" style="8" customWidth="1"/>
    <col min="6" max="6" width="9.33203125" style="8" customWidth="1"/>
    <col min="7" max="7" width="11.5546875" style="8" customWidth="1"/>
    <col min="8" max="8" width="4.6640625" style="8" customWidth="1"/>
    <col min="9" max="10" width="11.33203125" style="8" customWidth="1"/>
    <col min="11" max="11" width="10.33203125" style="8" customWidth="1"/>
    <col min="12" max="12" width="11.44140625" style="8" customWidth="1"/>
    <col min="13" max="13" width="4.6640625" style="8" customWidth="1"/>
    <col min="14" max="14" width="5" bestFit="1" customWidth="1"/>
    <col min="15" max="15" width="5.33203125" customWidth="1"/>
    <col min="16" max="16" width="9.6640625" customWidth="1"/>
    <col min="17" max="17" width="9.5546875" style="3" customWidth="1"/>
    <col min="18" max="18" width="8.6640625" style="3" customWidth="1"/>
    <col min="19" max="19" width="7.6640625" style="3" customWidth="1"/>
    <col min="20" max="20" width="9.109375" style="3" customWidth="1"/>
    <col min="21" max="21" width="6.33203125" style="515" customWidth="1"/>
    <col min="22" max="22" width="3.88671875" customWidth="1"/>
    <col min="23" max="23" width="10.44140625" customWidth="1"/>
    <col min="24" max="24" width="9.44140625" customWidth="1"/>
  </cols>
  <sheetData>
    <row r="1" spans="1:24" ht="30.6" customHeight="1" thickBot="1" x14ac:dyDescent="0.35">
      <c r="D1" s="333" t="str">
        <f>D58</f>
        <v>Wareneinsatz Frühstück Erwachsene</v>
      </c>
      <c r="E1" s="331"/>
      <c r="F1" s="331"/>
      <c r="G1" s="332">
        <f>G58</f>
        <v>7.4083250000000005</v>
      </c>
      <c r="I1" s="334" t="str">
        <f>I58</f>
        <v>Wareneinsatz Frühstück Kinder</v>
      </c>
      <c r="J1" s="335"/>
      <c r="K1" s="335"/>
      <c r="L1" s="336">
        <f>L58</f>
        <v>0</v>
      </c>
      <c r="N1" s="529" t="s">
        <v>4</v>
      </c>
      <c r="O1" s="530"/>
      <c r="P1" s="539" t="s">
        <v>37</v>
      </c>
      <c r="Q1" s="540"/>
      <c r="R1" s="539" t="s">
        <v>36</v>
      </c>
      <c r="S1" s="540"/>
      <c r="T1" s="5"/>
      <c r="U1" s="92"/>
      <c r="V1" s="92"/>
      <c r="W1" s="548" t="s">
        <v>311</v>
      </c>
      <c r="X1" s="549"/>
    </row>
    <row r="2" spans="1:24" ht="15.6" x14ac:dyDescent="0.3">
      <c r="A2" s="161" t="s">
        <v>252</v>
      </c>
      <c r="C2" s="523" t="s">
        <v>0</v>
      </c>
      <c r="D2" s="525" t="s">
        <v>1</v>
      </c>
      <c r="E2" s="527" t="s">
        <v>84</v>
      </c>
      <c r="F2" s="525" t="s">
        <v>2</v>
      </c>
      <c r="G2" s="527" t="s">
        <v>84</v>
      </c>
      <c r="I2" s="525" t="s">
        <v>1</v>
      </c>
      <c r="J2" s="527" t="s">
        <v>84</v>
      </c>
      <c r="K2" s="525" t="s">
        <v>302</v>
      </c>
      <c r="L2" s="527" t="s">
        <v>84</v>
      </c>
      <c r="N2" s="531"/>
      <c r="O2" s="532"/>
      <c r="P2" s="538" t="s">
        <v>1</v>
      </c>
      <c r="Q2" s="538" t="s">
        <v>2</v>
      </c>
      <c r="R2" s="542" t="s">
        <v>1</v>
      </c>
      <c r="S2" s="544" t="s">
        <v>2</v>
      </c>
      <c r="T2" s="546" t="s">
        <v>3</v>
      </c>
      <c r="U2" s="535" t="s">
        <v>48</v>
      </c>
      <c r="V2" s="535"/>
      <c r="W2" s="536" t="s">
        <v>1</v>
      </c>
      <c r="X2" s="536" t="s">
        <v>2</v>
      </c>
    </row>
    <row r="3" spans="1:24" ht="15" thickBot="1" x14ac:dyDescent="0.35">
      <c r="C3" s="524"/>
      <c r="D3" s="526"/>
      <c r="E3" s="528"/>
      <c r="F3" s="526"/>
      <c r="G3" s="528"/>
      <c r="H3" s="384"/>
      <c r="I3" s="526"/>
      <c r="J3" s="528"/>
      <c r="K3" s="526"/>
      <c r="L3" s="528"/>
      <c r="M3" s="384"/>
      <c r="N3" s="533"/>
      <c r="O3" s="534"/>
      <c r="P3" s="526"/>
      <c r="Q3" s="526"/>
      <c r="R3" s="543"/>
      <c r="S3" s="545"/>
      <c r="T3" s="547"/>
      <c r="U3" s="541"/>
      <c r="V3" s="535"/>
      <c r="W3" s="537"/>
      <c r="X3" s="537"/>
    </row>
    <row r="4" spans="1:24" x14ac:dyDescent="0.3">
      <c r="A4" s="21" t="s">
        <v>60</v>
      </c>
      <c r="C4" s="1" t="s">
        <v>5</v>
      </c>
      <c r="D4" s="364" t="b">
        <v>0</v>
      </c>
      <c r="E4" s="8">
        <f>IF(D4, (IF($A$5,P4/1000*N4,R4/1000*N4)), 0)</f>
        <v>0</v>
      </c>
      <c r="F4" s="366" t="b">
        <v>1</v>
      </c>
      <c r="G4" s="11">
        <f>IF(F4, (IF($A$5,Q4/1000*N4,S4/1000*N4)), 0)</f>
        <v>0.33340000000000003</v>
      </c>
      <c r="H4" s="12"/>
      <c r="I4" s="364" t="b">
        <v>0</v>
      </c>
      <c r="J4" s="12">
        <f>IF(I4, (IF($A$5,P4/1000*N4,R4/1000*N4)), 0)</f>
        <v>0</v>
      </c>
      <c r="K4" s="367" t="b">
        <v>0</v>
      </c>
      <c r="L4" s="11">
        <f>IF(K4, (IF($A$5,Q4/1000*N4,S4/1000*N4)), 0)</f>
        <v>0</v>
      </c>
      <c r="N4" s="368">
        <v>20</v>
      </c>
      <c r="O4" t="s">
        <v>7</v>
      </c>
      <c r="P4" s="408">
        <f>(6.94+13.4)/2</f>
        <v>10.17</v>
      </c>
      <c r="Q4" s="407">
        <f>(9.39+23.95)/2</f>
        <v>16.670000000000002</v>
      </c>
      <c r="R4" s="98">
        <f>P4/(1+(U4/100))</f>
        <v>9.5046728971962615</v>
      </c>
      <c r="S4" s="98">
        <f>Q4/(1+(U4/100))</f>
        <v>15.579439252336449</v>
      </c>
      <c r="T4" s="3" t="s">
        <v>6</v>
      </c>
      <c r="U4" s="510">
        <v>7</v>
      </c>
      <c r="V4" s="5"/>
      <c r="W4" s="416">
        <f>(6.94+13.4)/2</f>
        <v>10.17</v>
      </c>
      <c r="X4" s="417">
        <f>(9.39+23.95)/2</f>
        <v>16.670000000000002</v>
      </c>
    </row>
    <row r="5" spans="1:24" x14ac:dyDescent="0.3">
      <c r="A5" s="364" t="b">
        <v>1</v>
      </c>
      <c r="C5" s="2" t="s">
        <v>8</v>
      </c>
      <c r="D5" s="364" t="b">
        <v>0</v>
      </c>
      <c r="E5" s="8">
        <f>IF(D5, (IF($A$5,P5/1000*N5,R5/1000*N5)), 0)</f>
        <v>0</v>
      </c>
      <c r="F5" s="366" t="b">
        <v>1</v>
      </c>
      <c r="G5" s="11">
        <f>IF(F5, (IF($A$5,Q5/1000*N5,S5/1000*N5)), 0)</f>
        <v>0.17050000000000001</v>
      </c>
      <c r="H5" s="12"/>
      <c r="I5" s="364" t="b">
        <v>0</v>
      </c>
      <c r="J5" s="12">
        <f>IF(I5, (IF($A$5,P5/1000*N5,R5/1000*N5)), 0)</f>
        <v>0</v>
      </c>
      <c r="K5" s="367" t="b">
        <v>0</v>
      </c>
      <c r="L5" s="11">
        <f>IF(K5, (IF($A$5,Q5/1000*N5,S5/1000*N5)), 0)</f>
        <v>0</v>
      </c>
      <c r="N5" s="368">
        <v>100</v>
      </c>
      <c r="O5" t="s">
        <v>56</v>
      </c>
      <c r="P5" s="409">
        <f>(1.13+2.77)/2</f>
        <v>1.95</v>
      </c>
      <c r="Q5" s="407">
        <f>(0.99+2.42)/2</f>
        <v>1.7050000000000001</v>
      </c>
      <c r="R5" s="98">
        <f>P5/(1+(U5/100))</f>
        <v>1.8224299065420559</v>
      </c>
      <c r="S5" s="98">
        <f t="shared" ref="S5:S57" si="0">Q5/(1+(U5/100))</f>
        <v>1.5934579439252337</v>
      </c>
      <c r="T5" s="3" t="s">
        <v>9</v>
      </c>
      <c r="U5" s="92">
        <v>7</v>
      </c>
      <c r="V5" s="5"/>
      <c r="W5" s="418">
        <f>(1.13+2.77)/2</f>
        <v>1.95</v>
      </c>
      <c r="X5" s="417">
        <f>(0.99+2.42)/2</f>
        <v>1.7050000000000001</v>
      </c>
    </row>
    <row r="6" spans="1:24" x14ac:dyDescent="0.3">
      <c r="A6" s="17" t="b">
        <v>0</v>
      </c>
      <c r="C6" s="4" t="s">
        <v>10</v>
      </c>
      <c r="D6" s="364" t="b">
        <v>0</v>
      </c>
      <c r="E6" s="8">
        <f>IF(D6, (IF($A$5,P6/1000*N6,R6/1000*N6)), 0)</f>
        <v>0</v>
      </c>
      <c r="F6" s="366" t="b">
        <v>0</v>
      </c>
      <c r="G6" s="11">
        <f>IF(F6, (IF($A$5,Q6/1000*N6,S6/1000*N6)), 0)</f>
        <v>0</v>
      </c>
      <c r="H6" s="12"/>
      <c r="I6" s="364" t="b">
        <v>0</v>
      </c>
      <c r="J6" s="12">
        <f>IF(I6, (IF($A$5,P6/1000*N6,R6/1000*N6)), 0)</f>
        <v>0</v>
      </c>
      <c r="K6" s="367" t="b">
        <v>0</v>
      </c>
      <c r="L6" s="11">
        <f>IF(K6, (IF($A$5,Q6/1000*N6,S6/1000*N6)), 0)</f>
        <v>0</v>
      </c>
      <c r="N6" s="368">
        <v>10</v>
      </c>
      <c r="O6" t="s">
        <v>7</v>
      </c>
      <c r="P6" s="409">
        <f>(0.7+1.12)/2</f>
        <v>0.91</v>
      </c>
      <c r="Q6" s="407">
        <f>(2.76+3.19)/2</f>
        <v>2.9749999999999996</v>
      </c>
      <c r="R6" s="98">
        <f t="shared" ref="R6:R23" si="1">P6/(1+(U6/100))</f>
        <v>0.85046728971962615</v>
      </c>
      <c r="S6" s="98">
        <f t="shared" si="0"/>
        <v>2.7803738317757003</v>
      </c>
      <c r="T6" s="3" t="s">
        <v>6</v>
      </c>
      <c r="U6" s="92">
        <v>7</v>
      </c>
      <c r="V6" s="5"/>
      <c r="W6" s="418">
        <f>(0.59+0.95)/2</f>
        <v>0.77</v>
      </c>
      <c r="X6" s="417">
        <f>(2.58+2.98)/2</f>
        <v>2.7800000000000002</v>
      </c>
    </row>
    <row r="7" spans="1:24" x14ac:dyDescent="0.3">
      <c r="C7" s="4" t="s">
        <v>11</v>
      </c>
      <c r="D7" s="364" t="b">
        <v>0</v>
      </c>
      <c r="E7" s="8">
        <f>IF(D7, (IF($A$5,P7/1000*N7,R7/1000*N7)), 0)</f>
        <v>0</v>
      </c>
      <c r="F7" s="366" t="b">
        <v>0</v>
      </c>
      <c r="G7" s="11">
        <f>IF(F7, (IF($A$5,Q7/1000*N7,S7/1000*N7)), 0)</f>
        <v>0</v>
      </c>
      <c r="H7" s="12"/>
      <c r="I7" s="364" t="b">
        <v>0</v>
      </c>
      <c r="J7" s="12">
        <f>IF(I7, (IF($A$5,P7/1000*N7,R7/1000*N7)), 0)</f>
        <v>0</v>
      </c>
      <c r="K7" s="367" t="b">
        <v>0</v>
      </c>
      <c r="L7" s="11">
        <f>IF(K7, (IF($A$5,Q7/1000*N7,S7/1000*N7)), 0)</f>
        <v>0</v>
      </c>
      <c r="N7" s="368">
        <v>1</v>
      </c>
      <c r="O7" t="s">
        <v>12</v>
      </c>
      <c r="P7" s="412">
        <f>3/20*1000</f>
        <v>150</v>
      </c>
      <c r="Q7" s="496">
        <f>3/20*1000</f>
        <v>150</v>
      </c>
      <c r="R7" s="98">
        <f>P7/(1+(U7/100))</f>
        <v>140.18691588785046</v>
      </c>
      <c r="S7" s="98">
        <f t="shared" si="0"/>
        <v>140.18691588785046</v>
      </c>
      <c r="T7" s="3" t="s">
        <v>59</v>
      </c>
      <c r="U7" s="92">
        <v>7</v>
      </c>
      <c r="W7" s="481">
        <f>3/20*1000</f>
        <v>150</v>
      </c>
      <c r="X7" s="482">
        <f>3/20*1000</f>
        <v>150</v>
      </c>
    </row>
    <row r="8" spans="1:24" x14ac:dyDescent="0.3">
      <c r="C8" s="4" t="s">
        <v>13</v>
      </c>
      <c r="D8" s="364" t="b">
        <v>0</v>
      </c>
      <c r="E8" s="8">
        <f>IF(D8, (IF($A$5,P8/1000*N8,R8/1000*N8)), 0)</f>
        <v>0</v>
      </c>
      <c r="F8" s="366" t="b">
        <v>0</v>
      </c>
      <c r="G8" s="11">
        <f>IF(F8, (IF($A$5,Q8/1000*N8,S8/1000*N8)), 0)</f>
        <v>0</v>
      </c>
      <c r="H8" s="12"/>
      <c r="I8" s="364" t="b">
        <v>0</v>
      </c>
      <c r="J8" s="12">
        <f>IF(I8, (IF($A$5,P8/1000*N8,R8/1000*N8)), 0)</f>
        <v>0</v>
      </c>
      <c r="K8" s="367" t="b">
        <v>0</v>
      </c>
      <c r="L8" s="11">
        <f>IF(K8, (IF($A$5,Q8/1000*N8,S8/1000*N8)), 0)</f>
        <v>0</v>
      </c>
      <c r="N8" s="368">
        <v>250</v>
      </c>
      <c r="O8" t="s">
        <v>56</v>
      </c>
      <c r="P8" s="409">
        <f>P5</f>
        <v>1.95</v>
      </c>
      <c r="Q8" s="407">
        <f>Q5</f>
        <v>1.7050000000000001</v>
      </c>
      <c r="R8" s="98">
        <f t="shared" si="1"/>
        <v>1.8224299065420559</v>
      </c>
      <c r="S8" s="98">
        <f t="shared" si="0"/>
        <v>1.5934579439252337</v>
      </c>
      <c r="T8" s="3" t="str">
        <f>T5</f>
        <v>€/l</v>
      </c>
      <c r="U8" s="92">
        <v>7</v>
      </c>
      <c r="W8" s="418">
        <f>W5</f>
        <v>1.95</v>
      </c>
      <c r="X8" s="417">
        <f>X5</f>
        <v>1.7050000000000001</v>
      </c>
    </row>
    <row r="9" spans="1:24" x14ac:dyDescent="0.3">
      <c r="C9" s="4" t="s">
        <v>47</v>
      </c>
      <c r="D9" s="364" t="b">
        <v>0</v>
      </c>
      <c r="E9" s="8">
        <f>IF(D9, (IF($A$5,((P9/1000*N9)+(P8/1000*N8)),((R9/1000*N9)+(R8/1000*N8)))), 0)</f>
        <v>0</v>
      </c>
      <c r="F9" s="366" t="b">
        <v>0</v>
      </c>
      <c r="G9" s="11">
        <f>IF(F9, (IF($A$5,((Q9/1000*N9)+(Q8/1000*N8)),((S9/1000*N9)+(S8/1000*N8)))), 0)</f>
        <v>0</v>
      </c>
      <c r="H9" s="12"/>
      <c r="I9" s="364" t="b">
        <v>0</v>
      </c>
      <c r="J9" s="12">
        <f>IF(I9, (IF($A$5,((P9/1000*N9)+(P8/1000*N8)),((R9/1000*N9)+(R8/1000*N8)))), 0)</f>
        <v>0</v>
      </c>
      <c r="K9" s="367" t="b">
        <v>0</v>
      </c>
      <c r="L9" s="11">
        <f>IF(K9, (IF($A$5,((Q9/1000*N9)+(Q8/1000*N8)),((S9/1000*N9)+(S8/1000*N8)))), 0)</f>
        <v>0</v>
      </c>
      <c r="N9" s="368">
        <v>10</v>
      </c>
      <c r="O9" t="s">
        <v>7</v>
      </c>
      <c r="P9" s="409">
        <f>(6.89+18.18)/2</f>
        <v>12.535</v>
      </c>
      <c r="Q9" s="413">
        <f>(18.73+35.31)/2</f>
        <v>27.020000000000003</v>
      </c>
      <c r="R9" s="98">
        <f t="shared" si="1"/>
        <v>11.714953271028037</v>
      </c>
      <c r="S9" s="98">
        <f t="shared" si="0"/>
        <v>25.252336448598133</v>
      </c>
      <c r="T9" s="3" t="s">
        <v>6</v>
      </c>
      <c r="U9" s="92">
        <v>7</v>
      </c>
      <c r="W9" s="418">
        <f>(6.89+18.18)/2</f>
        <v>12.535</v>
      </c>
      <c r="X9" s="417">
        <f>(18.73+35.31)/2</f>
        <v>27.020000000000003</v>
      </c>
    </row>
    <row r="10" spans="1:24" s="95" customFormat="1" ht="3.6" customHeight="1" x14ac:dyDescent="0.3">
      <c r="C10" s="94"/>
      <c r="D10" s="365" t="b">
        <v>0</v>
      </c>
      <c r="E10" s="96"/>
      <c r="F10" s="365" t="b">
        <v>0</v>
      </c>
      <c r="G10" s="96"/>
      <c r="H10" s="96"/>
      <c r="I10" s="365" t="b">
        <v>0</v>
      </c>
      <c r="J10" s="96"/>
      <c r="K10" s="365"/>
      <c r="L10" s="96"/>
      <c r="M10" s="96"/>
      <c r="N10" s="365"/>
      <c r="P10" s="410"/>
      <c r="Q10" s="365"/>
      <c r="R10" s="97">
        <f t="shared" si="1"/>
        <v>0</v>
      </c>
      <c r="S10" s="97">
        <f t="shared" si="0"/>
        <v>0</v>
      </c>
      <c r="U10" s="511"/>
      <c r="W10" s="504"/>
      <c r="X10" s="504"/>
    </row>
    <row r="11" spans="1:24" x14ac:dyDescent="0.3">
      <c r="C11" s="3" t="s">
        <v>342</v>
      </c>
      <c r="D11" s="364" t="b">
        <v>0</v>
      </c>
      <c r="E11" s="8">
        <f t="shared" ref="E11:E16" si="2">IF(D11, (IF($A$5,P11/1000*N11,R11/1000*N11)), 0)</f>
        <v>0</v>
      </c>
      <c r="F11" s="366" t="b">
        <v>0</v>
      </c>
      <c r="G11" s="11">
        <f t="shared" ref="G11:G16" si="3">IF(F11, (IF($A$5,Q11/1000*N11,S11/1000*N11)), 0)</f>
        <v>0</v>
      </c>
      <c r="H11" s="12"/>
      <c r="I11" s="364" t="b">
        <v>0</v>
      </c>
      <c r="J11" s="12">
        <f t="shared" ref="J11:J16" si="4">IF(I11, (IF($A$5,P11/1000*N11,R11/1000*N11)), 0)</f>
        <v>0</v>
      </c>
      <c r="K11" s="367" t="b">
        <v>0</v>
      </c>
      <c r="L11" s="11">
        <f t="shared" ref="L11:L16" si="5">IF(K11, (IF($A$5,Q11/1000*N11,S11/1000*N11)), 0)</f>
        <v>0</v>
      </c>
      <c r="N11" s="368">
        <v>250</v>
      </c>
      <c r="O11" t="s">
        <v>56</v>
      </c>
      <c r="P11" s="409">
        <f>(1.02+1.27)/2</f>
        <v>1.145</v>
      </c>
      <c r="Q11" s="407">
        <f>(1.06+1.51)/2</f>
        <v>1.2850000000000001</v>
      </c>
      <c r="R11" s="98">
        <f t="shared" si="1"/>
        <v>0.96218487394957986</v>
      </c>
      <c r="S11" s="98">
        <f t="shared" si="0"/>
        <v>1.0798319327731094</v>
      </c>
      <c r="T11" s="3" t="s">
        <v>9</v>
      </c>
      <c r="U11" s="92">
        <v>19</v>
      </c>
      <c r="W11" s="418">
        <f>(1.02+1.27)/2</f>
        <v>1.145</v>
      </c>
      <c r="X11" s="417">
        <f>(1.06+1.51)/2</f>
        <v>1.2850000000000001</v>
      </c>
    </row>
    <row r="12" spans="1:24" x14ac:dyDescent="0.3">
      <c r="C12" s="3" t="s">
        <v>343</v>
      </c>
      <c r="D12" s="364" t="b">
        <v>0</v>
      </c>
      <c r="E12" s="8">
        <f t="shared" si="2"/>
        <v>0</v>
      </c>
      <c r="F12" s="366" t="b">
        <v>0</v>
      </c>
      <c r="G12" s="11">
        <f t="shared" si="3"/>
        <v>0</v>
      </c>
      <c r="H12" s="12"/>
      <c r="I12" s="364" t="b">
        <v>0</v>
      </c>
      <c r="J12" s="12">
        <f t="shared" si="4"/>
        <v>0</v>
      </c>
      <c r="K12" s="367" t="b">
        <v>0</v>
      </c>
      <c r="L12" s="11">
        <f t="shared" si="5"/>
        <v>0</v>
      </c>
      <c r="N12" s="368">
        <v>250</v>
      </c>
      <c r="O12" t="s">
        <v>56</v>
      </c>
      <c r="P12" s="409">
        <f>(0.98+1.81)/2</f>
        <v>1.395</v>
      </c>
      <c r="Q12" s="407">
        <f>(1.02+2.02)/2</f>
        <v>1.52</v>
      </c>
      <c r="R12" s="98">
        <f t="shared" si="1"/>
        <v>1.1722689075630253</v>
      </c>
      <c r="S12" s="98">
        <f t="shared" si="0"/>
        <v>1.277310924369748</v>
      </c>
      <c r="T12" s="3" t="s">
        <v>9</v>
      </c>
      <c r="U12" s="92">
        <v>19</v>
      </c>
      <c r="W12" s="418">
        <f>(0.98+1.81)/2</f>
        <v>1.395</v>
      </c>
      <c r="X12" s="417">
        <f>(1.02+2.02)/2</f>
        <v>1.52</v>
      </c>
    </row>
    <row r="13" spans="1:24" x14ac:dyDescent="0.3">
      <c r="C13" s="3" t="s">
        <v>35</v>
      </c>
      <c r="D13" s="364" t="b">
        <v>0</v>
      </c>
      <c r="E13" s="8">
        <f t="shared" si="2"/>
        <v>0</v>
      </c>
      <c r="F13" s="366" t="b">
        <v>0</v>
      </c>
      <c r="G13" s="11">
        <f t="shared" si="3"/>
        <v>0</v>
      </c>
      <c r="H13" s="12"/>
      <c r="I13" s="364" t="b">
        <v>0</v>
      </c>
      <c r="J13" s="12">
        <f t="shared" si="4"/>
        <v>0</v>
      </c>
      <c r="K13" s="367" t="b">
        <v>0</v>
      </c>
      <c r="L13" s="11">
        <f t="shared" si="5"/>
        <v>0</v>
      </c>
      <c r="N13" s="368">
        <v>100</v>
      </c>
      <c r="O13" t="s">
        <v>56</v>
      </c>
      <c r="P13" s="409">
        <f>(4.75+12.85)/2</f>
        <v>8.8000000000000007</v>
      </c>
      <c r="Q13" s="407">
        <f>(9.97+15.41)/2</f>
        <v>12.690000000000001</v>
      </c>
      <c r="R13" s="98">
        <f t="shared" si="1"/>
        <v>7.3949579831932786</v>
      </c>
      <c r="S13" s="98">
        <f t="shared" si="0"/>
        <v>10.663865546218489</v>
      </c>
      <c r="T13" s="3" t="s">
        <v>9</v>
      </c>
      <c r="U13" s="92">
        <v>19</v>
      </c>
      <c r="W13" s="418">
        <f>(4.75+12.85)/2</f>
        <v>8.8000000000000007</v>
      </c>
      <c r="X13" s="417">
        <f>(9.97+15.41)/2</f>
        <v>12.690000000000001</v>
      </c>
    </row>
    <row r="14" spans="1:24" x14ac:dyDescent="0.3">
      <c r="C14" s="4" t="s">
        <v>38</v>
      </c>
      <c r="D14" s="364" t="b">
        <v>0</v>
      </c>
      <c r="E14" s="8">
        <f t="shared" si="2"/>
        <v>0</v>
      </c>
      <c r="F14" s="366" t="b">
        <v>0</v>
      </c>
      <c r="G14" s="11">
        <f t="shared" si="3"/>
        <v>0</v>
      </c>
      <c r="H14" s="12"/>
      <c r="I14" s="364" t="b">
        <v>0</v>
      </c>
      <c r="J14" s="12">
        <f t="shared" si="4"/>
        <v>0</v>
      </c>
      <c r="K14" s="367" t="b">
        <v>0</v>
      </c>
      <c r="L14" s="11">
        <f t="shared" si="5"/>
        <v>0</v>
      </c>
      <c r="N14" s="368">
        <v>250</v>
      </c>
      <c r="O14" t="s">
        <v>56</v>
      </c>
      <c r="P14" s="409">
        <f>(0.93+1.7)/2</f>
        <v>1.3149999999999999</v>
      </c>
      <c r="Q14" s="497">
        <f>(1.97+6.03)/2</f>
        <v>4</v>
      </c>
      <c r="R14" s="98">
        <f t="shared" si="1"/>
        <v>1.1050420168067228</v>
      </c>
      <c r="S14" s="98">
        <f>Q14/(1+(U14/100))</f>
        <v>3.3613445378151261</v>
      </c>
      <c r="T14" s="3" t="s">
        <v>9</v>
      </c>
      <c r="U14" s="92">
        <v>19</v>
      </c>
      <c r="W14" s="418">
        <f>(0.93+1.7)/2</f>
        <v>1.3149999999999999</v>
      </c>
      <c r="X14" s="417">
        <f>(1.97+6.03)/2</f>
        <v>4</v>
      </c>
    </row>
    <row r="15" spans="1:24" x14ac:dyDescent="0.3">
      <c r="C15" s="4" t="s">
        <v>39</v>
      </c>
      <c r="D15" s="364" t="b">
        <v>0</v>
      </c>
      <c r="E15" s="8">
        <f t="shared" si="2"/>
        <v>0</v>
      </c>
      <c r="F15" s="366" t="b">
        <v>0</v>
      </c>
      <c r="G15" s="11">
        <f t="shared" si="3"/>
        <v>0</v>
      </c>
      <c r="H15" s="12"/>
      <c r="I15" s="364" t="b">
        <v>0</v>
      </c>
      <c r="J15" s="12">
        <f t="shared" si="4"/>
        <v>0</v>
      </c>
      <c r="K15" s="367" t="b">
        <v>0</v>
      </c>
      <c r="L15" s="11">
        <f t="shared" si="5"/>
        <v>0</v>
      </c>
      <c r="N15" s="368">
        <v>250</v>
      </c>
      <c r="O15" t="s">
        <v>56</v>
      </c>
      <c r="P15" s="409">
        <f>(1+2.27)/2</f>
        <v>1.635</v>
      </c>
      <c r="Q15" s="413">
        <f>(1.92+6.4)/2</f>
        <v>4.16</v>
      </c>
      <c r="R15" s="98">
        <f t="shared" si="1"/>
        <v>1.3739495798319328</v>
      </c>
      <c r="S15" s="98">
        <f t="shared" ref="S15:S16" si="6">Q15/(1+(U15/100))</f>
        <v>3.4957983193277316</v>
      </c>
      <c r="T15" s="3" t="s">
        <v>9</v>
      </c>
      <c r="U15" s="92">
        <v>19</v>
      </c>
      <c r="W15" s="418">
        <f>(1+2.27)/2</f>
        <v>1.635</v>
      </c>
      <c r="X15" s="417">
        <f>(1.92+6.4)/2</f>
        <v>4.16</v>
      </c>
    </row>
    <row r="16" spans="1:24" x14ac:dyDescent="0.3">
      <c r="C16" s="4" t="s">
        <v>40</v>
      </c>
      <c r="D16" s="364" t="b">
        <v>0</v>
      </c>
      <c r="E16" s="8">
        <f t="shared" si="2"/>
        <v>0</v>
      </c>
      <c r="F16" s="366" t="b">
        <v>1</v>
      </c>
      <c r="G16" s="11">
        <f t="shared" si="3"/>
        <v>0.51749999999999996</v>
      </c>
      <c r="H16" s="12"/>
      <c r="I16" s="364" t="b">
        <v>0</v>
      </c>
      <c r="J16" s="12">
        <f t="shared" si="4"/>
        <v>0</v>
      </c>
      <c r="K16" s="367" t="b">
        <v>0</v>
      </c>
      <c r="L16" s="11">
        <f t="shared" si="5"/>
        <v>0</v>
      </c>
      <c r="N16" s="368">
        <v>250</v>
      </c>
      <c r="O16" t="s">
        <v>56</v>
      </c>
      <c r="P16" s="409">
        <f>(0.62+1.83)/2</f>
        <v>1.2250000000000001</v>
      </c>
      <c r="Q16" s="407">
        <f>(1.59+2.55)/2</f>
        <v>2.0699999999999998</v>
      </c>
      <c r="R16" s="98">
        <f t="shared" si="1"/>
        <v>1.0294117647058825</v>
      </c>
      <c r="S16" s="98">
        <f t="shared" si="6"/>
        <v>1.7394957983193278</v>
      </c>
      <c r="T16" s="3" t="s">
        <v>9</v>
      </c>
      <c r="U16" s="92">
        <v>19</v>
      </c>
      <c r="W16" s="418">
        <f>(0.62+1.83)/2</f>
        <v>1.2250000000000001</v>
      </c>
      <c r="X16" s="417">
        <f>(1.59+2.55)/2</f>
        <v>2.0699999999999998</v>
      </c>
    </row>
    <row r="17" spans="3:24" s="402" customFormat="1" ht="4.95" customHeight="1" x14ac:dyDescent="0.3">
      <c r="C17" s="398"/>
      <c r="D17" s="399"/>
      <c r="E17" s="400"/>
      <c r="F17" s="399"/>
      <c r="G17" s="400"/>
      <c r="H17" s="400"/>
      <c r="I17" s="399"/>
      <c r="J17" s="400"/>
      <c r="K17" s="399"/>
      <c r="L17" s="400"/>
      <c r="M17" s="400"/>
      <c r="N17" s="401"/>
      <c r="P17" s="411"/>
      <c r="Q17" s="401"/>
      <c r="R17" s="403"/>
      <c r="S17" s="403"/>
      <c r="U17" s="512"/>
      <c r="W17" s="505"/>
      <c r="X17" s="505"/>
    </row>
    <row r="18" spans="3:24" x14ac:dyDescent="0.3">
      <c r="C18" s="4" t="s">
        <v>14</v>
      </c>
      <c r="D18" s="364" t="b">
        <v>0</v>
      </c>
      <c r="E18" s="8">
        <f>IF(D18, (IF($A$5,P18*N18,R18*N18)), 0)</f>
        <v>0</v>
      </c>
      <c r="F18" s="366" t="b">
        <v>0</v>
      </c>
      <c r="G18" s="11">
        <f>IF(F18, (IF($A$5,Q18*N18,S18*N18)), 0)</f>
        <v>0</v>
      </c>
      <c r="H18" s="12"/>
      <c r="I18" s="364" t="b">
        <v>0</v>
      </c>
      <c r="J18" s="12">
        <f>IF(I18, (IF($A$5,P18*N18,R18*N18)), 0)</f>
        <v>0</v>
      </c>
      <c r="K18" s="367" t="b">
        <v>0</v>
      </c>
      <c r="L18" s="11">
        <f>IF(K18, (IF($A$5,Q18*N18,S18*N18)), 0)</f>
        <v>0</v>
      </c>
      <c r="N18" s="368">
        <v>1</v>
      </c>
      <c r="O18" t="s">
        <v>16</v>
      </c>
      <c r="P18" s="409">
        <f>(0.18+0.41)/2</f>
        <v>0.29499999999999998</v>
      </c>
      <c r="Q18" s="407">
        <f>(0.37+0.51)/2</f>
        <v>0.44</v>
      </c>
      <c r="R18" s="98">
        <f t="shared" si="1"/>
        <v>0.27570093457943923</v>
      </c>
      <c r="S18" s="98">
        <f t="shared" si="0"/>
        <v>0.41121495327102803</v>
      </c>
      <c r="T18" s="3" t="s">
        <v>15</v>
      </c>
      <c r="U18" s="92">
        <v>7</v>
      </c>
      <c r="W18" s="418">
        <f>(0.18+0.41)/2</f>
        <v>0.29499999999999998</v>
      </c>
      <c r="X18" s="417">
        <f>(0.37+0.51)/2</f>
        <v>0.44</v>
      </c>
    </row>
    <row r="19" spans="3:24" x14ac:dyDescent="0.3">
      <c r="C19" s="4" t="s">
        <v>17</v>
      </c>
      <c r="D19" s="364" t="b">
        <v>0</v>
      </c>
      <c r="E19" s="8">
        <f>IF(D19, (IF($A$5,P19*N19,R19*N19)), 0)</f>
        <v>0</v>
      </c>
      <c r="F19" s="366" t="b">
        <v>1</v>
      </c>
      <c r="G19" s="11">
        <f>IF(F19, (IF($A$5,Q19*N19,S19*N19)), 0)</f>
        <v>0.83000000000000007</v>
      </c>
      <c r="H19" s="12"/>
      <c r="I19" s="364" t="b">
        <v>0</v>
      </c>
      <c r="J19" s="12">
        <f>IF(I19, (IF($A$5,P19*N19,R19*N19)), 0)</f>
        <v>0</v>
      </c>
      <c r="K19" s="367" t="b">
        <v>0</v>
      </c>
      <c r="L19" s="11">
        <f>IF(K19, (IF($A$5,Q19*N19,S19*N19)), 0)</f>
        <v>0</v>
      </c>
      <c r="N19" s="368">
        <v>1</v>
      </c>
      <c r="O19" t="s">
        <v>16</v>
      </c>
      <c r="P19" s="409">
        <f>(0.39+0.7)/2</f>
        <v>0.54499999999999993</v>
      </c>
      <c r="Q19" s="407">
        <f>(0.8+0.86)/2</f>
        <v>0.83000000000000007</v>
      </c>
      <c r="R19" s="98">
        <f t="shared" si="1"/>
        <v>0.50934579439252325</v>
      </c>
      <c r="S19" s="98">
        <f t="shared" si="0"/>
        <v>0.77570093457943923</v>
      </c>
      <c r="T19" s="3" t="s">
        <v>15</v>
      </c>
      <c r="U19" s="92">
        <v>7</v>
      </c>
      <c r="W19" s="418">
        <f>(0.39+0.7)/2</f>
        <v>0.54499999999999993</v>
      </c>
      <c r="X19" s="417">
        <f>(0.8+0.86)/2</f>
        <v>0.83000000000000007</v>
      </c>
    </row>
    <row r="20" spans="3:24" x14ac:dyDescent="0.3">
      <c r="C20" s="4" t="s">
        <v>314</v>
      </c>
      <c r="D20" s="364" t="b">
        <v>0</v>
      </c>
      <c r="E20" s="8">
        <f>IF(D20, (IF($A$5,P20*N20,R20*N20)), 0)</f>
        <v>0</v>
      </c>
      <c r="F20" s="366" t="b">
        <v>1</v>
      </c>
      <c r="G20" s="11">
        <f>IF(F20, (IF($A$5,Q20*N20,S20*N20)), 0)</f>
        <v>0.94</v>
      </c>
      <c r="H20" s="12"/>
      <c r="I20" s="364" t="b">
        <v>0</v>
      </c>
      <c r="J20" s="12">
        <f>IF(I20, (IF($A$5,P20*N20,R20*N20)), 0)</f>
        <v>0</v>
      </c>
      <c r="K20" s="367" t="b">
        <v>0</v>
      </c>
      <c r="L20" s="11">
        <f>IF(K20, (IF($A$5,Q20*N20,S20*N20)), 0)</f>
        <v>0</v>
      </c>
      <c r="N20" s="368">
        <v>1</v>
      </c>
      <c r="O20" t="s">
        <v>16</v>
      </c>
      <c r="P20" s="409">
        <f>(0.34+0.82)/2</f>
        <v>0.57999999999999996</v>
      </c>
      <c r="Q20" s="407">
        <f>(0.89+0.99)/2</f>
        <v>0.94</v>
      </c>
      <c r="R20" s="98">
        <f t="shared" si="1"/>
        <v>0.54205607476635509</v>
      </c>
      <c r="S20" s="98">
        <f t="shared" si="0"/>
        <v>0.87850467289719614</v>
      </c>
      <c r="T20" s="3" t="s">
        <v>15</v>
      </c>
      <c r="U20" s="513">
        <v>7</v>
      </c>
      <c r="W20" s="418">
        <f>(0.34+0.82)/2</f>
        <v>0.57999999999999996</v>
      </c>
      <c r="X20" s="417">
        <f>(0.89+0.99)/2</f>
        <v>0.94</v>
      </c>
    </row>
    <row r="21" spans="3:24" x14ac:dyDescent="0.3">
      <c r="C21" s="4" t="s">
        <v>32</v>
      </c>
      <c r="D21" s="364" t="b">
        <v>0</v>
      </c>
      <c r="E21" s="8">
        <f>IF(D21, (IF($A$5,P21*N21,R21*N21)), 0)</f>
        <v>0</v>
      </c>
      <c r="F21" s="366" t="b">
        <v>0</v>
      </c>
      <c r="G21" s="11">
        <f>IF(F21, (IF($A$5,Q21*N21,S21*N21)), 0)</f>
        <v>0</v>
      </c>
      <c r="H21" s="12"/>
      <c r="I21" s="364" t="b">
        <v>0</v>
      </c>
      <c r="J21" s="12">
        <f>IF(I21, (IF($A$5,P21*N21,R21*N21)), 0)</f>
        <v>0</v>
      </c>
      <c r="K21" s="367" t="b">
        <v>0</v>
      </c>
      <c r="L21" s="11">
        <f>IF(K21, (IF($A$5,Q21*N21,S21*N21)), 0)</f>
        <v>0</v>
      </c>
      <c r="N21" s="368">
        <v>1</v>
      </c>
      <c r="O21" s="5" t="s">
        <v>16</v>
      </c>
      <c r="P21" s="409">
        <f>(0.62+0.79)/2</f>
        <v>0.70500000000000007</v>
      </c>
      <c r="Q21" s="407">
        <f>(0.84+1.47)/2</f>
        <v>1.155</v>
      </c>
      <c r="R21" s="98">
        <f t="shared" si="1"/>
        <v>0.65887850467289721</v>
      </c>
      <c r="S21" s="98">
        <f t="shared" si="0"/>
        <v>1.0794392523364487</v>
      </c>
      <c r="T21" s="3" t="s">
        <v>15</v>
      </c>
      <c r="U21" s="92">
        <v>7</v>
      </c>
      <c r="W21" s="418">
        <f>(0.62+0.79)/2</f>
        <v>0.70500000000000007</v>
      </c>
      <c r="X21" s="417">
        <f>(0.84+1.47)/2</f>
        <v>1.155</v>
      </c>
    </row>
    <row r="22" spans="3:24" x14ac:dyDescent="0.3">
      <c r="C22" s="4" t="s">
        <v>18</v>
      </c>
      <c r="D22" s="364" t="b">
        <v>0</v>
      </c>
      <c r="E22" s="8">
        <f>IF(D22, (IF($A$5,P22/1000*N22,R22/1000*N22)), 0)</f>
        <v>0</v>
      </c>
      <c r="F22" s="366" t="b">
        <v>0</v>
      </c>
      <c r="G22" s="11">
        <f t="shared" ref="G22:G23" si="7">IF(F22, (IF($A$5,Q22/1000*N22,S22/1000*N22)), 0)</f>
        <v>0</v>
      </c>
      <c r="H22" s="12"/>
      <c r="I22" s="364" t="b">
        <v>0</v>
      </c>
      <c r="J22" s="12">
        <f>IF(I22, (IF($A$5,P23/1000*N22,R22/1000*N22)), 0)</f>
        <v>0</v>
      </c>
      <c r="K22" s="367" t="b">
        <v>0</v>
      </c>
      <c r="L22" s="11">
        <f t="shared" ref="L22:L23" si="8">IF(K22, (IF($A$5,Q22/1000*N22,S22/1000*N22)), 0)</f>
        <v>0</v>
      </c>
      <c r="N22" s="368">
        <v>60</v>
      </c>
      <c r="O22" t="s">
        <v>7</v>
      </c>
      <c r="P22" s="409">
        <f>(3.04+3.39)/2</f>
        <v>3.2149999999999999</v>
      </c>
      <c r="Q22" s="407">
        <f>(5.19+6.63)/2</f>
        <v>5.91</v>
      </c>
      <c r="R22" s="98">
        <f t="shared" si="1"/>
        <v>3.0046728971962615</v>
      </c>
      <c r="S22" s="98">
        <f t="shared" ref="S22:S33" si="9">Q22/(1+(U22/100))</f>
        <v>5.5233644859813085</v>
      </c>
      <c r="T22" s="3" t="s">
        <v>6</v>
      </c>
      <c r="U22" s="92">
        <v>7</v>
      </c>
      <c r="W22" s="418">
        <f>(3.04+3.39)/2</f>
        <v>3.2149999999999999</v>
      </c>
      <c r="X22" s="417">
        <f>(5.19+6.63)/2</f>
        <v>5.91</v>
      </c>
    </row>
    <row r="23" spans="3:24" x14ac:dyDescent="0.3">
      <c r="C23" s="4" t="s">
        <v>19</v>
      </c>
      <c r="D23" s="364" t="b">
        <v>0</v>
      </c>
      <c r="E23" s="8">
        <f>IF(D23, (IF($A$5,P23/1000*N23,R23/1000*N23)), 0)</f>
        <v>0</v>
      </c>
      <c r="F23" s="366" t="b">
        <v>0</v>
      </c>
      <c r="G23" s="11">
        <f t="shared" si="7"/>
        <v>0</v>
      </c>
      <c r="H23" s="12"/>
      <c r="I23" s="364" t="b">
        <v>0</v>
      </c>
      <c r="J23" s="12">
        <f>IF(I23, (IF($A$5,P23/1000*N23,R23/1000*N23)), 0)</f>
        <v>0</v>
      </c>
      <c r="K23" s="367" t="b">
        <v>0</v>
      </c>
      <c r="L23" s="11">
        <f t="shared" si="8"/>
        <v>0</v>
      </c>
      <c r="N23" s="368">
        <v>60</v>
      </c>
      <c r="O23" t="s">
        <v>7</v>
      </c>
      <c r="P23" s="409">
        <f>(2.08+4.68)/2</f>
        <v>3.38</v>
      </c>
      <c r="Q23" s="407">
        <f>(5.21+7.26)/2</f>
        <v>6.2349999999999994</v>
      </c>
      <c r="R23" s="98">
        <f t="shared" si="1"/>
        <v>3.1588785046728969</v>
      </c>
      <c r="S23" s="98">
        <f t="shared" si="9"/>
        <v>5.8271028037383168</v>
      </c>
      <c r="T23" s="3" t="s">
        <v>6</v>
      </c>
      <c r="U23" s="92">
        <v>7</v>
      </c>
      <c r="W23" s="418">
        <f>(2.08+4.68)/2</f>
        <v>3.38</v>
      </c>
      <c r="X23" s="417">
        <f>(5.21+7.26)/2</f>
        <v>6.2349999999999994</v>
      </c>
    </row>
    <row r="24" spans="3:24" x14ac:dyDescent="0.3">
      <c r="C24" s="4" t="s">
        <v>20</v>
      </c>
      <c r="D24" s="364" t="b">
        <v>0</v>
      </c>
      <c r="E24" s="8">
        <f t="shared" ref="E24:E33" si="10">IF(D24, (IF($A$5,P24/1000*N24,R24/1000*N24)), 0)</f>
        <v>0</v>
      </c>
      <c r="F24" s="366" t="b">
        <v>1</v>
      </c>
      <c r="G24" s="11">
        <f t="shared" ref="G24:G33" si="11">IF(F24, (IF($A$5,Q24/1000*N24,S24/1000*N24)), 0)</f>
        <v>0.23320000000000002</v>
      </c>
      <c r="H24" s="12"/>
      <c r="I24" s="364" t="b">
        <v>0</v>
      </c>
      <c r="J24" s="12">
        <f t="shared" ref="J24:J33" si="12">IF(I24, (IF($A$5,P24/1000*N24,R24/1000*N24)), 0)</f>
        <v>0</v>
      </c>
      <c r="K24" s="367" t="b">
        <v>0</v>
      </c>
      <c r="L24" s="11">
        <f t="shared" ref="L24:L33" si="13">IF(K24, (IF($A$5,Q24/1000*N24,S24/1000*N24)), 0)</f>
        <v>0</v>
      </c>
      <c r="N24" s="368">
        <v>20</v>
      </c>
      <c r="O24" t="s">
        <v>7</v>
      </c>
      <c r="P24" s="409">
        <f>(7.88+15.77)/2</f>
        <v>11.824999999999999</v>
      </c>
      <c r="Q24" s="407">
        <f>(10.08+13.24)/2</f>
        <v>11.66</v>
      </c>
      <c r="R24" s="98">
        <f t="shared" ref="R24:R33" si="14">P24/(1+(U24/100))</f>
        <v>11.051401869158877</v>
      </c>
      <c r="S24" s="98">
        <f t="shared" si="9"/>
        <v>10.897196261682243</v>
      </c>
      <c r="T24" s="3" t="s">
        <v>6</v>
      </c>
      <c r="U24" s="92">
        <v>7</v>
      </c>
      <c r="W24" s="418">
        <f>(7.88+15.77)/2</f>
        <v>11.824999999999999</v>
      </c>
      <c r="X24" s="417">
        <f>(10.08+13.24)/2</f>
        <v>11.66</v>
      </c>
    </row>
    <row r="25" spans="3:24" x14ac:dyDescent="0.3">
      <c r="C25" s="4" t="s">
        <v>250</v>
      </c>
      <c r="D25" s="364" t="b">
        <v>0</v>
      </c>
      <c r="E25" s="8">
        <f t="shared" si="10"/>
        <v>0</v>
      </c>
      <c r="F25" s="366" t="b">
        <v>1</v>
      </c>
      <c r="G25" s="11">
        <f t="shared" si="11"/>
        <v>0.65100000000000002</v>
      </c>
      <c r="H25" s="12"/>
      <c r="I25" s="364" t="b">
        <v>0</v>
      </c>
      <c r="J25" s="12">
        <f t="shared" si="12"/>
        <v>0</v>
      </c>
      <c r="K25" s="367" t="b">
        <v>0</v>
      </c>
      <c r="L25" s="11">
        <f t="shared" si="13"/>
        <v>0</v>
      </c>
      <c r="N25" s="368">
        <v>30</v>
      </c>
      <c r="O25" t="s">
        <v>7</v>
      </c>
      <c r="P25" s="409">
        <f>(3.55+18.2)/2</f>
        <v>10.875</v>
      </c>
      <c r="Q25" s="407">
        <f>(11.94+31.46)/2</f>
        <v>21.7</v>
      </c>
      <c r="R25" s="98">
        <f t="shared" si="14"/>
        <v>10.163551401869158</v>
      </c>
      <c r="S25" s="98">
        <f t="shared" si="9"/>
        <v>20.280373831775698</v>
      </c>
      <c r="T25" s="3" t="s">
        <v>6</v>
      </c>
      <c r="U25" s="92">
        <v>7</v>
      </c>
      <c r="W25" s="418">
        <f>(3.55+18.2)/2</f>
        <v>10.875</v>
      </c>
      <c r="X25" s="417">
        <f>(11.94+31.46)/2</f>
        <v>21.7</v>
      </c>
    </row>
    <row r="26" spans="3:24" x14ac:dyDescent="0.3">
      <c r="C26" s="4" t="s">
        <v>21</v>
      </c>
      <c r="D26" s="364" t="b">
        <v>0</v>
      </c>
      <c r="E26" s="8">
        <f t="shared" si="10"/>
        <v>0</v>
      </c>
      <c r="F26" s="366" t="b">
        <v>0</v>
      </c>
      <c r="G26" s="11">
        <f t="shared" si="11"/>
        <v>0</v>
      </c>
      <c r="H26" s="12"/>
      <c r="I26" s="364" t="b">
        <v>0</v>
      </c>
      <c r="J26" s="12">
        <f t="shared" si="12"/>
        <v>0</v>
      </c>
      <c r="K26" s="367" t="b">
        <v>0</v>
      </c>
      <c r="L26" s="11">
        <f t="shared" si="13"/>
        <v>0</v>
      </c>
      <c r="N26" s="368">
        <v>30</v>
      </c>
      <c r="O26" t="s">
        <v>7</v>
      </c>
      <c r="P26" s="409">
        <f>(7.35+19.19)/2</f>
        <v>13.27</v>
      </c>
      <c r="Q26" s="407">
        <f>(7.8+25.29)/2</f>
        <v>16.544999999999998</v>
      </c>
      <c r="R26" s="98">
        <f t="shared" si="14"/>
        <v>12.401869158878503</v>
      </c>
      <c r="S26" s="98">
        <f t="shared" si="9"/>
        <v>15.462616822429904</v>
      </c>
      <c r="T26" s="3" t="s">
        <v>6</v>
      </c>
      <c r="U26" s="92">
        <v>7</v>
      </c>
      <c r="W26" s="418">
        <f>(7.35+19.19)/2</f>
        <v>13.27</v>
      </c>
      <c r="X26" s="417">
        <f>(7.8+25.29)/2</f>
        <v>16.544999999999998</v>
      </c>
    </row>
    <row r="27" spans="3:24" x14ac:dyDescent="0.3">
      <c r="C27" s="4" t="s">
        <v>22</v>
      </c>
      <c r="D27" s="364" t="b">
        <v>0</v>
      </c>
      <c r="E27" s="8">
        <f t="shared" si="10"/>
        <v>0</v>
      </c>
      <c r="F27" s="366" t="b">
        <v>0</v>
      </c>
      <c r="G27" s="11">
        <f t="shared" si="11"/>
        <v>0</v>
      </c>
      <c r="H27" s="12"/>
      <c r="I27" s="364" t="b">
        <v>0</v>
      </c>
      <c r="J27" s="12">
        <f t="shared" si="12"/>
        <v>0</v>
      </c>
      <c r="K27" s="367" t="b">
        <v>0</v>
      </c>
      <c r="L27" s="11">
        <f t="shared" si="13"/>
        <v>0</v>
      </c>
      <c r="N27" s="368">
        <v>40</v>
      </c>
      <c r="O27" t="s">
        <v>7</v>
      </c>
      <c r="P27" s="409">
        <f>(7.06+7.45)/2</f>
        <v>7.2549999999999999</v>
      </c>
      <c r="Q27" s="407">
        <f>(7.99+17.33)/2</f>
        <v>12.66</v>
      </c>
      <c r="R27" s="98">
        <f t="shared" si="14"/>
        <v>6.7803738317757007</v>
      </c>
      <c r="S27" s="98">
        <f t="shared" si="9"/>
        <v>11.831775700934578</v>
      </c>
      <c r="T27" s="3" t="s">
        <v>6</v>
      </c>
      <c r="U27" s="92">
        <v>7</v>
      </c>
      <c r="W27" s="418">
        <f>(7.06+7.45)/2</f>
        <v>7.2549999999999999</v>
      </c>
      <c r="X27" s="417">
        <f>(7.99+17.33)/2</f>
        <v>12.66</v>
      </c>
    </row>
    <row r="28" spans="3:24" x14ac:dyDescent="0.3">
      <c r="C28" s="4" t="s">
        <v>29</v>
      </c>
      <c r="D28" s="364" t="b">
        <v>0</v>
      </c>
      <c r="E28" s="8">
        <f t="shared" si="10"/>
        <v>0</v>
      </c>
      <c r="F28" s="366" t="b">
        <v>0</v>
      </c>
      <c r="G28" s="11">
        <f t="shared" si="11"/>
        <v>0</v>
      </c>
      <c r="H28" s="12"/>
      <c r="I28" s="364" t="b">
        <v>0</v>
      </c>
      <c r="J28" s="12">
        <f t="shared" si="12"/>
        <v>0</v>
      </c>
      <c r="K28" s="367" t="b">
        <v>0</v>
      </c>
      <c r="L28" s="11">
        <f t="shared" si="13"/>
        <v>0</v>
      </c>
      <c r="N28" s="368">
        <v>30</v>
      </c>
      <c r="O28" t="s">
        <v>7</v>
      </c>
      <c r="P28" s="409">
        <f>(3.71+7.66)/2</f>
        <v>5.6850000000000005</v>
      </c>
      <c r="Q28" s="407">
        <f>(5.61+8.36)/2</f>
        <v>6.9849999999999994</v>
      </c>
      <c r="R28" s="98">
        <f t="shared" si="14"/>
        <v>5.3130841121495331</v>
      </c>
      <c r="S28" s="98">
        <f t="shared" si="9"/>
        <v>6.5280373831775691</v>
      </c>
      <c r="T28" s="3" t="s">
        <v>6</v>
      </c>
      <c r="U28" s="92">
        <v>7</v>
      </c>
      <c r="W28" s="418">
        <f>(3.71+7.66)/2</f>
        <v>5.6850000000000005</v>
      </c>
      <c r="X28" s="417">
        <f>(5.61+8.36)/2</f>
        <v>6.9849999999999994</v>
      </c>
    </row>
    <row r="29" spans="3:24" x14ac:dyDescent="0.3">
      <c r="C29" s="4" t="s">
        <v>41</v>
      </c>
      <c r="D29" s="364" t="b">
        <v>0</v>
      </c>
      <c r="E29" s="8">
        <f t="shared" si="10"/>
        <v>0</v>
      </c>
      <c r="F29" s="366" t="b">
        <v>0</v>
      </c>
      <c r="G29" s="11">
        <f t="shared" si="11"/>
        <v>0</v>
      </c>
      <c r="H29" s="12"/>
      <c r="I29" s="364" t="b">
        <v>0</v>
      </c>
      <c r="J29" s="12">
        <f t="shared" si="12"/>
        <v>0</v>
      </c>
      <c r="K29" s="367" t="b">
        <v>0</v>
      </c>
      <c r="L29" s="11">
        <f t="shared" si="13"/>
        <v>0</v>
      </c>
      <c r="N29" s="368">
        <v>30</v>
      </c>
      <c r="O29" t="s">
        <v>7</v>
      </c>
      <c r="P29" s="409">
        <f>(10.24+13.69)/2</f>
        <v>11.965</v>
      </c>
      <c r="Q29" s="407">
        <f>(14.07+25.53)/2</f>
        <v>19.8</v>
      </c>
      <c r="R29" s="98">
        <f t="shared" si="14"/>
        <v>11.182242990654204</v>
      </c>
      <c r="S29" s="98">
        <f t="shared" si="9"/>
        <v>18.504672897196262</v>
      </c>
      <c r="T29" s="3" t="s">
        <v>6</v>
      </c>
      <c r="U29" s="92">
        <v>7</v>
      </c>
      <c r="W29" s="418">
        <f>(10.24+13.69)/2</f>
        <v>11.965</v>
      </c>
      <c r="X29" s="417">
        <f>(14.07+25.53)/2</f>
        <v>19.8</v>
      </c>
    </row>
    <row r="30" spans="3:24" x14ac:dyDescent="0.3">
      <c r="C30" s="4" t="s">
        <v>23</v>
      </c>
      <c r="D30" s="364" t="b">
        <v>0</v>
      </c>
      <c r="E30" s="8">
        <f t="shared" si="10"/>
        <v>0</v>
      </c>
      <c r="F30" s="366" t="b">
        <v>1</v>
      </c>
      <c r="G30" s="11">
        <f t="shared" si="11"/>
        <v>0.81275000000000008</v>
      </c>
      <c r="H30" s="12"/>
      <c r="I30" s="364" t="b">
        <v>0</v>
      </c>
      <c r="J30" s="12">
        <f t="shared" si="12"/>
        <v>0</v>
      </c>
      <c r="K30" s="367" t="b">
        <v>0</v>
      </c>
      <c r="L30" s="11">
        <f t="shared" si="13"/>
        <v>0</v>
      </c>
      <c r="N30" s="368">
        <v>50</v>
      </c>
      <c r="O30" t="s">
        <v>7</v>
      </c>
      <c r="P30" s="409">
        <f>(7.62+12.79)/2</f>
        <v>10.205</v>
      </c>
      <c r="Q30" s="407">
        <f>(11.21+21.3)/2</f>
        <v>16.255000000000003</v>
      </c>
      <c r="R30" s="98">
        <f t="shared" si="14"/>
        <v>9.5373831775700921</v>
      </c>
      <c r="S30" s="98">
        <f t="shared" si="9"/>
        <v>15.191588785046731</v>
      </c>
      <c r="T30" s="3" t="s">
        <v>6</v>
      </c>
      <c r="U30" s="92">
        <v>7</v>
      </c>
      <c r="W30" s="418">
        <f>(7.62+12.79)/2</f>
        <v>10.205</v>
      </c>
      <c r="X30" s="417">
        <f>(11.21+21.3)/2</f>
        <v>16.255000000000003</v>
      </c>
    </row>
    <row r="31" spans="3:24" x14ac:dyDescent="0.3">
      <c r="C31" s="4" t="s">
        <v>24</v>
      </c>
      <c r="D31" s="364" t="b">
        <v>0</v>
      </c>
      <c r="E31" s="8">
        <f t="shared" si="10"/>
        <v>0</v>
      </c>
      <c r="F31" s="366" t="b">
        <v>0</v>
      </c>
      <c r="G31" s="11">
        <f t="shared" si="11"/>
        <v>0</v>
      </c>
      <c r="H31" s="12"/>
      <c r="I31" s="364" t="b">
        <v>0</v>
      </c>
      <c r="J31" s="12">
        <f t="shared" si="12"/>
        <v>0</v>
      </c>
      <c r="K31" s="367" t="b">
        <v>0</v>
      </c>
      <c r="L31" s="11">
        <f t="shared" si="13"/>
        <v>0</v>
      </c>
      <c r="N31" s="368">
        <v>50</v>
      </c>
      <c r="O31" t="s">
        <v>7</v>
      </c>
      <c r="P31" s="409">
        <f>(10.32+22.03)/2</f>
        <v>16.175000000000001</v>
      </c>
      <c r="Q31" s="407">
        <f>(33.12+48.84)/2</f>
        <v>40.980000000000004</v>
      </c>
      <c r="R31" s="98">
        <f t="shared" si="14"/>
        <v>15.116822429906541</v>
      </c>
      <c r="S31" s="98">
        <f t="shared" si="9"/>
        <v>38.299065420560751</v>
      </c>
      <c r="T31" s="3" t="s">
        <v>6</v>
      </c>
      <c r="U31" s="92">
        <v>7</v>
      </c>
      <c r="W31" s="418">
        <f>(10.32+22.03)/2</f>
        <v>16.175000000000001</v>
      </c>
      <c r="X31" s="417">
        <f>(33.12+48.84)/2</f>
        <v>40.980000000000004</v>
      </c>
    </row>
    <row r="32" spans="3:24" x14ac:dyDescent="0.3">
      <c r="C32" s="4" t="s">
        <v>27</v>
      </c>
      <c r="D32" s="364" t="b">
        <v>0</v>
      </c>
      <c r="E32" s="8">
        <f t="shared" si="10"/>
        <v>0</v>
      </c>
      <c r="F32" s="366" t="b">
        <v>1</v>
      </c>
      <c r="G32" s="11">
        <f t="shared" si="11"/>
        <v>0.40379999999999999</v>
      </c>
      <c r="H32" s="12"/>
      <c r="I32" s="364" t="b">
        <v>0</v>
      </c>
      <c r="J32" s="12">
        <f t="shared" si="12"/>
        <v>0</v>
      </c>
      <c r="K32" s="367" t="b">
        <v>0</v>
      </c>
      <c r="L32" s="11">
        <f t="shared" si="13"/>
        <v>0</v>
      </c>
      <c r="N32" s="368">
        <v>120</v>
      </c>
      <c r="O32" t="s">
        <v>7</v>
      </c>
      <c r="P32" s="409">
        <f>(2.35+4.1)/2</f>
        <v>3.2249999999999996</v>
      </c>
      <c r="Q32" s="407">
        <f>(2.63+4.1)/2</f>
        <v>3.3649999999999998</v>
      </c>
      <c r="R32" s="98">
        <f t="shared" si="14"/>
        <v>3.0140186915887845</v>
      </c>
      <c r="S32" s="98">
        <f t="shared" si="9"/>
        <v>3.1448598130841119</v>
      </c>
      <c r="T32" s="3" t="s">
        <v>6</v>
      </c>
      <c r="U32" s="92">
        <v>7</v>
      </c>
      <c r="W32" s="418">
        <f>(2.35+4.1)/2</f>
        <v>3.2249999999999996</v>
      </c>
      <c r="X32" s="417">
        <f>(2.63+4.1)/2</f>
        <v>3.3649999999999998</v>
      </c>
    </row>
    <row r="33" spans="3:24" x14ac:dyDescent="0.3">
      <c r="C33" s="7" t="s">
        <v>44</v>
      </c>
      <c r="D33" s="364" t="b">
        <v>0</v>
      </c>
      <c r="E33" s="8">
        <f t="shared" si="10"/>
        <v>0</v>
      </c>
      <c r="F33" s="366" t="b">
        <v>0</v>
      </c>
      <c r="G33" s="11">
        <f t="shared" si="11"/>
        <v>0</v>
      </c>
      <c r="H33" s="12"/>
      <c r="I33" s="364" t="b">
        <v>0</v>
      </c>
      <c r="J33" s="12">
        <f t="shared" si="12"/>
        <v>0</v>
      </c>
      <c r="K33" s="367" t="b">
        <v>0</v>
      </c>
      <c r="L33" s="11">
        <f t="shared" si="13"/>
        <v>0</v>
      </c>
      <c r="N33" s="368">
        <v>120</v>
      </c>
      <c r="O33" t="s">
        <v>7</v>
      </c>
      <c r="P33" s="409">
        <f>(2.24+3.06)/2</f>
        <v>2.6500000000000004</v>
      </c>
      <c r="Q33" s="407">
        <f>(2.98+4.56)/2</f>
        <v>3.7699999999999996</v>
      </c>
      <c r="R33" s="98">
        <f t="shared" si="14"/>
        <v>2.476635514018692</v>
      </c>
      <c r="S33" s="98">
        <f t="shared" si="9"/>
        <v>3.523364485981308</v>
      </c>
      <c r="T33" s="3" t="s">
        <v>6</v>
      </c>
      <c r="U33" s="92">
        <v>7</v>
      </c>
      <c r="W33" s="418">
        <f>(2.24+3.06)/2</f>
        <v>2.6500000000000004</v>
      </c>
      <c r="X33" s="417">
        <f>(2.98+4.56)/2</f>
        <v>3.7699999999999996</v>
      </c>
    </row>
    <row r="34" spans="3:24" s="90" customFormat="1" ht="3.6" customHeight="1" x14ac:dyDescent="0.3">
      <c r="C34" s="398"/>
      <c r="D34" s="399"/>
      <c r="E34" s="400"/>
      <c r="F34" s="399"/>
      <c r="G34" s="400"/>
      <c r="H34" s="400"/>
      <c r="I34" s="399"/>
      <c r="J34" s="400"/>
      <c r="K34" s="399"/>
      <c r="L34" s="400"/>
      <c r="M34" s="400"/>
      <c r="N34" s="401"/>
      <c r="O34" s="402"/>
      <c r="P34" s="411"/>
      <c r="Q34" s="401"/>
      <c r="R34" s="403"/>
      <c r="S34" s="403"/>
      <c r="T34" s="402"/>
      <c r="U34" s="512"/>
      <c r="W34" s="505"/>
      <c r="X34" s="505"/>
    </row>
    <row r="35" spans="3:24" x14ac:dyDescent="0.3">
      <c r="C35" s="4" t="s">
        <v>25</v>
      </c>
      <c r="D35" s="364" t="b">
        <v>0</v>
      </c>
      <c r="E35" s="8">
        <f>IF(D35, (IF($A$5,P35/1000*N35,R35/1000*N35)), 0)</f>
        <v>0</v>
      </c>
      <c r="F35" s="366" t="b">
        <v>0</v>
      </c>
      <c r="G35" s="11">
        <f>IF(F35, (IF($A$5,Q35/1000*N35,S35/1000*N35)), 0)</f>
        <v>0</v>
      </c>
      <c r="H35" s="12"/>
      <c r="I35" s="364" t="b">
        <v>0</v>
      </c>
      <c r="J35" s="12">
        <f>IF(I35, (IF($A$5,P35/1000*N35,R35/1000*N35)), 0)</f>
        <v>0</v>
      </c>
      <c r="K35" s="367" t="b">
        <v>0</v>
      </c>
      <c r="L35" s="11">
        <f>IF(K35, (IF($A$5,Q35/1000*N35,S35/1000*N35)), 0)</f>
        <v>0</v>
      </c>
      <c r="N35" s="368">
        <v>40</v>
      </c>
      <c r="O35" t="s">
        <v>7</v>
      </c>
      <c r="P35" s="409">
        <f>(3.43+7.65)/2</f>
        <v>5.54</v>
      </c>
      <c r="Q35" s="413">
        <f>(5.33+12.39)/2</f>
        <v>8.86</v>
      </c>
      <c r="R35" s="98">
        <f>P35/(1+(U35/100))</f>
        <v>5.1775700934579438</v>
      </c>
      <c r="S35" s="98">
        <f>Q35/(1+(U35/100))</f>
        <v>8.2803738317756999</v>
      </c>
      <c r="T35" s="3" t="s">
        <v>6</v>
      </c>
      <c r="U35" s="92">
        <v>7</v>
      </c>
      <c r="W35" s="418">
        <f>(3.43+7.65)/2</f>
        <v>5.54</v>
      </c>
      <c r="X35" s="417">
        <f>(5.33+12.39)/2</f>
        <v>8.86</v>
      </c>
    </row>
    <row r="36" spans="3:24" x14ac:dyDescent="0.3">
      <c r="C36" s="4" t="s">
        <v>26</v>
      </c>
      <c r="D36" s="364" t="b">
        <v>0</v>
      </c>
      <c r="E36" s="8">
        <f>IF(D36, (IF($A$5,P36/1000*N36,R36/1000*N36)), 0)</f>
        <v>0</v>
      </c>
      <c r="F36" s="366" t="b">
        <v>0</v>
      </c>
      <c r="G36" s="11">
        <f>IF(F36, (IF($A$5,Q36/1000*N36,S36/1000*N36)), 0)</f>
        <v>0</v>
      </c>
      <c r="H36" s="12"/>
      <c r="I36" s="364" t="b">
        <v>0</v>
      </c>
      <c r="J36" s="12">
        <f>IF(I36, (IF($A$5,P36/1000*N36,R36/1000*N36)), 0)</f>
        <v>0</v>
      </c>
      <c r="K36" s="367" t="b">
        <v>0</v>
      </c>
      <c r="L36" s="11">
        <f>IF(K36, (IF($A$5,Q36/1000*N36,S36/1000*N36)), 0)</f>
        <v>0</v>
      </c>
      <c r="N36" s="368">
        <v>30</v>
      </c>
      <c r="O36" t="s">
        <v>7</v>
      </c>
      <c r="P36" s="409">
        <f>(1.13+2.97)/2</f>
        <v>2.0499999999999998</v>
      </c>
      <c r="Q36" s="413">
        <f>(2.55+6.85)/2</f>
        <v>4.6999999999999993</v>
      </c>
      <c r="R36" s="98">
        <f>P36/(1+(U36/100))</f>
        <v>1.9158878504672894</v>
      </c>
      <c r="S36" s="98">
        <f>Q36/(1+(U36/100))</f>
        <v>4.3925233644859807</v>
      </c>
      <c r="T36" s="3" t="s">
        <v>6</v>
      </c>
      <c r="U36" s="92">
        <v>7</v>
      </c>
      <c r="W36" s="418">
        <f>(1.13+2.97)/2</f>
        <v>2.0499999999999998</v>
      </c>
      <c r="X36" s="417">
        <f>(2.55+6.85)/2</f>
        <v>4.6999999999999993</v>
      </c>
    </row>
    <row r="37" spans="3:24" x14ac:dyDescent="0.3">
      <c r="C37" s="4" t="s">
        <v>43</v>
      </c>
      <c r="D37" s="364" t="b">
        <v>0</v>
      </c>
      <c r="E37" s="8">
        <f>IF(D37, (IF($A$5,P37/1000*N37,R37/1000*N37)), 0)</f>
        <v>0</v>
      </c>
      <c r="F37" s="366" t="b">
        <v>1</v>
      </c>
      <c r="G37" s="11">
        <f>IF(F37, (IF($A$5,Q37/1000*N37,S37/1000*N37)), 0)</f>
        <v>0.20617499999999997</v>
      </c>
      <c r="H37" s="12"/>
      <c r="I37" s="364" t="b">
        <v>0</v>
      </c>
      <c r="J37" s="12">
        <f>IF(I37, (IF($A$5,P37/1000*N37,R37/1000*N37)), 0)</f>
        <v>0</v>
      </c>
      <c r="K37" s="367" t="b">
        <v>0</v>
      </c>
      <c r="L37" s="11">
        <f>IF(K37, (IF($A$5,Q37/1000*N37,S37/1000*N37)), 0)</f>
        <v>0</v>
      </c>
      <c r="N37" s="368">
        <v>15</v>
      </c>
      <c r="O37" s="5" t="s">
        <v>7</v>
      </c>
      <c r="P37" s="409">
        <f>(4.32+6.43)/2</f>
        <v>5.375</v>
      </c>
      <c r="Q37" s="413">
        <f>(6.84+20.65)/2</f>
        <v>13.744999999999999</v>
      </c>
      <c r="R37" s="98">
        <f>P37/(1+(U37/100))</f>
        <v>5.0233644859813085</v>
      </c>
      <c r="S37" s="98">
        <f>Q37/(1+(U37/100))</f>
        <v>12.845794392523363</v>
      </c>
      <c r="T37" s="3" t="s">
        <v>6</v>
      </c>
      <c r="U37" s="92">
        <v>7</v>
      </c>
      <c r="W37" s="418">
        <f>(4.32+6.43)/2</f>
        <v>5.375</v>
      </c>
      <c r="X37" s="417">
        <f>(6.84+20.65)/2</f>
        <v>13.744999999999999</v>
      </c>
    </row>
    <row r="38" spans="3:24" x14ac:dyDescent="0.3">
      <c r="C38" s="4" t="s">
        <v>57</v>
      </c>
      <c r="D38" s="364" t="b">
        <v>0</v>
      </c>
      <c r="E38" s="8">
        <f>IF(D38, (IF($A$5,P38/1000*N38,R38/1000*N38)), 0)</f>
        <v>0</v>
      </c>
      <c r="F38" s="366" t="b">
        <v>0</v>
      </c>
      <c r="G38" s="11">
        <f>IF(F38, (IF($A$5,Q38/1000*N38,S38/1000*N38)), 0)</f>
        <v>0</v>
      </c>
      <c r="H38" s="12"/>
      <c r="I38" s="364" t="b">
        <v>0</v>
      </c>
      <c r="J38" s="12">
        <f>IF(I38, (IF($A$5,P38/1000*N38,R38/1000*N38)), 0)</f>
        <v>0</v>
      </c>
      <c r="K38" s="367" t="b">
        <v>0</v>
      </c>
      <c r="L38" s="11">
        <f>IF(K38, (IF($A$5,Q38/1000*N38,S38/1000*N38)), 0)</f>
        <v>0</v>
      </c>
      <c r="N38" s="368">
        <v>200</v>
      </c>
      <c r="O38" s="5" t="s">
        <v>56</v>
      </c>
      <c r="P38" s="409">
        <f>(0.79+1.19)/2</f>
        <v>0.99</v>
      </c>
      <c r="Q38" s="413">
        <f>(0.99+2.42)/2</f>
        <v>1.7050000000000001</v>
      </c>
      <c r="R38" s="98">
        <f>P38/(1+(U38/100))</f>
        <v>0.92523364485981308</v>
      </c>
      <c r="S38" s="98">
        <f>Q38/(1+(U38/100))</f>
        <v>1.5934579439252337</v>
      </c>
      <c r="T38" s="3" t="s">
        <v>9</v>
      </c>
      <c r="U38" s="92">
        <v>7</v>
      </c>
      <c r="W38" s="418">
        <f>(0.79+1.19)/2</f>
        <v>0.99</v>
      </c>
      <c r="X38" s="417">
        <f>(0.99+2.42)/2</f>
        <v>1.7050000000000001</v>
      </c>
    </row>
    <row r="39" spans="3:24" s="90" customFormat="1" ht="4.95" customHeight="1" x14ac:dyDescent="0.3">
      <c r="C39" s="398"/>
      <c r="D39" s="399"/>
      <c r="E39" s="400"/>
      <c r="F39" s="399"/>
      <c r="G39" s="400"/>
      <c r="H39" s="400"/>
      <c r="I39" s="399"/>
      <c r="J39" s="400"/>
      <c r="K39" s="399"/>
      <c r="L39" s="400"/>
      <c r="M39" s="400"/>
      <c r="N39" s="401"/>
      <c r="O39" s="402"/>
      <c r="P39" s="411"/>
      <c r="Q39" s="411"/>
      <c r="R39" s="403"/>
      <c r="S39" s="403"/>
      <c r="T39" s="402"/>
      <c r="U39" s="512"/>
      <c r="W39" s="505"/>
      <c r="X39" s="505"/>
    </row>
    <row r="40" spans="3:24" x14ac:dyDescent="0.3">
      <c r="C40" s="3" t="s">
        <v>34</v>
      </c>
      <c r="D40" s="364" t="b">
        <v>0</v>
      </c>
      <c r="E40" s="8">
        <f>IF(D40, (IF($A$5,P40*N40,R40*N40)), 0)</f>
        <v>0</v>
      </c>
      <c r="F40" s="366" t="b">
        <v>0</v>
      </c>
      <c r="G40" s="11">
        <f>IF(F40, (IF($A$5,Q40*N40,S40*N40)), 0)</f>
        <v>0</v>
      </c>
      <c r="H40" s="12"/>
      <c r="I40" s="364" t="b">
        <v>0</v>
      </c>
      <c r="J40" s="12">
        <f>IF(I40, (IF($A$5,P40*N40,R40*N40)), 0)</f>
        <v>0</v>
      </c>
      <c r="K40" s="367" t="b">
        <v>0</v>
      </c>
      <c r="L40" s="11">
        <f>IF(K40, (IF($A$5,Q40*N40,S40*N40)), 0)</f>
        <v>0</v>
      </c>
      <c r="N40" s="369">
        <v>1</v>
      </c>
      <c r="O40" t="s">
        <v>16</v>
      </c>
      <c r="P40" s="409">
        <f>(1.34+2.03)/2</f>
        <v>1.6850000000000001</v>
      </c>
      <c r="Q40" s="413">
        <f>(2.01+2.3)/2</f>
        <v>2.1549999999999998</v>
      </c>
      <c r="R40" s="98">
        <f>P40/(1+(U40/100))</f>
        <v>1.5747663551401869</v>
      </c>
      <c r="S40" s="98">
        <f>Q40/(1+(U40/100))</f>
        <v>2.0140186915887845</v>
      </c>
      <c r="T40" s="3" t="s">
        <v>58</v>
      </c>
      <c r="U40" s="92">
        <v>7</v>
      </c>
      <c r="W40" s="418">
        <f>(1.34+2.03)/2</f>
        <v>1.6850000000000001</v>
      </c>
      <c r="X40" s="417">
        <f>(2.01+2.3)/2</f>
        <v>2.1549999999999998</v>
      </c>
    </row>
    <row r="41" spans="3:24" s="95" customFormat="1" x14ac:dyDescent="0.3">
      <c r="C41" s="7" t="s">
        <v>28</v>
      </c>
      <c r="D41" s="364" t="b">
        <v>0</v>
      </c>
      <c r="E41" s="8">
        <f>IF(D41, (IF($A$5,P41*N41,R41*N41)), 0)</f>
        <v>0</v>
      </c>
      <c r="F41" s="366" t="b">
        <v>0</v>
      </c>
      <c r="G41" s="11">
        <f>IF(F41, (IF($A$5,Q41*N41,S41*N41)), 0)</f>
        <v>0</v>
      </c>
      <c r="H41" s="12"/>
      <c r="I41" s="364" t="b">
        <v>0</v>
      </c>
      <c r="J41" s="12">
        <f>IF(I41, (IF($A$5,P41*N41,R41*N41)), 0)</f>
        <v>0</v>
      </c>
      <c r="K41" s="367" t="b">
        <v>0</v>
      </c>
      <c r="L41" s="11">
        <f>IF(K41, (IF($A$5,Q41*N41,S41*N41)), 0)</f>
        <v>0</v>
      </c>
      <c r="M41" s="8"/>
      <c r="N41" s="369">
        <v>1</v>
      </c>
      <c r="O41" t="s">
        <v>16</v>
      </c>
      <c r="P41" s="409">
        <f>(1.33+1.61)/2</f>
        <v>1.4700000000000002</v>
      </c>
      <c r="Q41" s="413">
        <f>(1.78+2.39)/2</f>
        <v>2.085</v>
      </c>
      <c r="R41" s="98">
        <f>P41/(1+(U41/100))</f>
        <v>1.3738317757009346</v>
      </c>
      <c r="S41" s="98">
        <f>Q41/(1+(U41/100))</f>
        <v>1.9485981308411213</v>
      </c>
      <c r="T41" s="3" t="s">
        <v>58</v>
      </c>
      <c r="U41" s="92">
        <v>7</v>
      </c>
      <c r="W41" s="418">
        <f>(1.33+1.61)/2</f>
        <v>1.4700000000000002</v>
      </c>
      <c r="X41" s="417">
        <f>(1.78+2.39)/2</f>
        <v>2.085</v>
      </c>
    </row>
    <row r="42" spans="3:24" x14ac:dyDescent="0.3">
      <c r="C42" s="7" t="s">
        <v>31</v>
      </c>
      <c r="D42" s="364" t="b">
        <v>0</v>
      </c>
      <c r="E42" s="8">
        <f>IF(D42, (IF($A$5,P42*N42,R42*N42)), 0)</f>
        <v>0</v>
      </c>
      <c r="F42" s="366" t="b">
        <v>0</v>
      </c>
      <c r="G42" s="11">
        <f>IF(F42, (IF($A$5,Q42*N42,S42*N42)), 0)</f>
        <v>0</v>
      </c>
      <c r="H42" s="12"/>
      <c r="I42" s="364" t="b">
        <v>0</v>
      </c>
      <c r="J42" s="12">
        <f>IF(I42, (IF($A$5,P42*N42,R42*N42)), 0)</f>
        <v>0</v>
      </c>
      <c r="K42" s="367" t="b">
        <v>0</v>
      </c>
      <c r="L42" s="11">
        <f>IF(K42, (IF($A$5,Q42*N42,S42*N42)), 0)</f>
        <v>0</v>
      </c>
      <c r="N42" s="369">
        <v>1</v>
      </c>
      <c r="O42" t="s">
        <v>16</v>
      </c>
      <c r="P42" s="409">
        <f>(0.98+1.36)/2</f>
        <v>1.17</v>
      </c>
      <c r="Q42" s="413">
        <f>(1.39+2.07)/2</f>
        <v>1.73</v>
      </c>
      <c r="R42" s="98">
        <f>P42/(1+(U42/100))</f>
        <v>1.0934579439252334</v>
      </c>
      <c r="S42" s="98">
        <f>Q42/(1+(U42/100))</f>
        <v>1.6168224299065419</v>
      </c>
      <c r="T42" s="3" t="s">
        <v>58</v>
      </c>
      <c r="U42" s="92">
        <v>7</v>
      </c>
      <c r="W42" s="418">
        <f>(0.98+1.36)/2</f>
        <v>1.17</v>
      </c>
      <c r="X42" s="417">
        <f>(1.39+2.07)/2</f>
        <v>1.73</v>
      </c>
    </row>
    <row r="43" spans="3:24" x14ac:dyDescent="0.3">
      <c r="C43" s="7" t="s">
        <v>33</v>
      </c>
      <c r="D43" s="364" t="b">
        <v>0</v>
      </c>
      <c r="E43" s="8">
        <f>IF(D43, (IF($A$5,P43*N43,R43*N43)), 0)</f>
        <v>0</v>
      </c>
      <c r="F43" s="366" t="b">
        <v>0</v>
      </c>
      <c r="G43" s="11">
        <f>IF(F43, (IF($A$5,Q43*N43,S43*N43)), 0)</f>
        <v>0</v>
      </c>
      <c r="H43" s="12"/>
      <c r="I43" s="364" t="b">
        <v>0</v>
      </c>
      <c r="J43" s="12">
        <f>IF(I43, (IF($A$5,P43*N43,R43*N43)), 0)</f>
        <v>0</v>
      </c>
      <c r="K43" s="367" t="b">
        <v>0</v>
      </c>
      <c r="L43" s="11">
        <f>IF(K43, (IF($A$5,Q43*N43,S43*N43)), 0)</f>
        <v>0</v>
      </c>
      <c r="N43" s="369">
        <v>1</v>
      </c>
      <c r="O43" t="s">
        <v>16</v>
      </c>
      <c r="P43" s="409">
        <f>(0.96+1.2)/2</f>
        <v>1.08</v>
      </c>
      <c r="Q43" s="413">
        <f>(1.39+1.89)/2</f>
        <v>1.64</v>
      </c>
      <c r="R43" s="98">
        <f>P43/(1+(U43/100))</f>
        <v>1.0093457943925235</v>
      </c>
      <c r="S43" s="98">
        <f>Q43/(1+(U43/100))</f>
        <v>1.5327102803738315</v>
      </c>
      <c r="T43" s="3" t="s">
        <v>58</v>
      </c>
      <c r="U43" s="92">
        <v>7</v>
      </c>
      <c r="W43" s="418">
        <f>(0.96+1.2)/2</f>
        <v>1.08</v>
      </c>
      <c r="X43" s="417">
        <f>(1.39+1.89)/2</f>
        <v>1.64</v>
      </c>
    </row>
    <row r="44" spans="3:24" x14ac:dyDescent="0.3">
      <c r="C44" s="3" t="s">
        <v>249</v>
      </c>
      <c r="D44" s="364" t="b">
        <v>0</v>
      </c>
      <c r="E44" s="8">
        <f>IF(D44, (IF($A$5,P44*N44,R44*N44)), 0)</f>
        <v>0</v>
      </c>
      <c r="F44" s="366" t="b">
        <v>0</v>
      </c>
      <c r="G44" s="11">
        <f>IF(F44, (IF($A$5,Q44*N44,S44*N44)), 0)</f>
        <v>0</v>
      </c>
      <c r="H44" s="12"/>
      <c r="I44" s="364" t="b">
        <v>0</v>
      </c>
      <c r="J44" s="12">
        <f>IF(I44, (IF($A$5,P44*N44,R44*N44)), 0)</f>
        <v>0</v>
      </c>
      <c r="K44" s="367" t="b">
        <v>0</v>
      </c>
      <c r="L44" s="11">
        <f>IF(K44, (IF($A$5,Q44*N44,S44*N44)), 0)</f>
        <v>0</v>
      </c>
      <c r="N44" s="369">
        <v>1</v>
      </c>
      <c r="O44" t="s">
        <v>16</v>
      </c>
      <c r="P44" s="409">
        <f>(1.14+1.39)/2</f>
        <v>1.2649999999999999</v>
      </c>
      <c r="Q44" s="413">
        <f>(1.57+1.69)/2</f>
        <v>1.63</v>
      </c>
      <c r="R44" s="98">
        <f>P44/(1+(U44/100))</f>
        <v>1.1822429906542054</v>
      </c>
      <c r="S44" s="98">
        <f>Q44/(1+(U44/100))</f>
        <v>1.5233644859813082</v>
      </c>
      <c r="T44" s="3" t="s">
        <v>58</v>
      </c>
      <c r="U44" s="92">
        <v>7</v>
      </c>
      <c r="W44" s="418">
        <f>(1.14+1.39)/2</f>
        <v>1.2649999999999999</v>
      </c>
      <c r="X44" s="417">
        <f>(1.57+1.69)/2</f>
        <v>1.63</v>
      </c>
    </row>
    <row r="45" spans="3:24" s="90" customFormat="1" ht="3" customHeight="1" x14ac:dyDescent="0.3">
      <c r="D45" s="404"/>
      <c r="E45" s="405"/>
      <c r="F45" s="406"/>
      <c r="G45" s="405"/>
      <c r="H45" s="405"/>
      <c r="I45" s="406"/>
      <c r="J45" s="405"/>
      <c r="K45" s="406"/>
      <c r="L45" s="405"/>
      <c r="M45" s="405"/>
      <c r="N45" s="404"/>
      <c r="P45" s="406"/>
      <c r="Q45" s="414"/>
      <c r="R45" s="91"/>
      <c r="S45" s="91"/>
      <c r="T45" s="91"/>
      <c r="U45" s="514"/>
      <c r="W45" s="506"/>
      <c r="X45" s="507"/>
    </row>
    <row r="46" spans="3:24" s="95" customFormat="1" x14ac:dyDescent="0.3">
      <c r="C46" s="4" t="s">
        <v>45</v>
      </c>
      <c r="D46" s="364" t="b">
        <v>0</v>
      </c>
      <c r="E46" s="8">
        <f>IF(D46, (IF($A$5,P46*N46,R46*N46)), 0)</f>
        <v>0</v>
      </c>
      <c r="F46" s="366" t="b">
        <v>1</v>
      </c>
      <c r="G46" s="11">
        <f>IF(F46, (IF($A$5,Q46*N46,S46*N46)), 0)</f>
        <v>0.52</v>
      </c>
      <c r="H46" s="12"/>
      <c r="I46" s="364" t="b">
        <v>0</v>
      </c>
      <c r="J46" s="12">
        <f>IF(I46, (IF($A$5,P46*N46,R46*N46)), 0)</f>
        <v>0</v>
      </c>
      <c r="K46" s="367" t="b">
        <v>0</v>
      </c>
      <c r="L46" s="11">
        <f>IF(K46, (IF($A$5,Q46*N46,S46*N46)), 0)</f>
        <v>0</v>
      </c>
      <c r="M46" s="8"/>
      <c r="N46" s="368">
        <v>1</v>
      </c>
      <c r="O46" s="5" t="s">
        <v>16</v>
      </c>
      <c r="P46" s="409">
        <f>(0.13+0.39)/2</f>
        <v>0.26</v>
      </c>
      <c r="Q46" s="413">
        <f>(0.37+0.67)/2</f>
        <v>0.52</v>
      </c>
      <c r="R46" s="98">
        <f>P46/(1+(U46/100))</f>
        <v>0.24299065420560748</v>
      </c>
      <c r="S46" s="98">
        <f>Q46/(1+(U46/100))</f>
        <v>0.48598130841121495</v>
      </c>
      <c r="T46" s="3" t="s">
        <v>58</v>
      </c>
      <c r="U46" s="92">
        <v>7</v>
      </c>
      <c r="W46" s="418">
        <f>(0.13+0.39)/2</f>
        <v>0.26</v>
      </c>
      <c r="X46" s="417">
        <f>(0.37+0.67)/2</f>
        <v>0.52</v>
      </c>
    </row>
    <row r="47" spans="3:24" x14ac:dyDescent="0.3">
      <c r="C47" s="4" t="s">
        <v>46</v>
      </c>
      <c r="D47" s="364" t="b">
        <v>0</v>
      </c>
      <c r="E47" s="8">
        <f>IF(D47, (IF($A$5,P47*N47,R47*N47)), 0)</f>
        <v>0</v>
      </c>
      <c r="F47" s="366" t="b">
        <v>0</v>
      </c>
      <c r="G47" s="11">
        <f>IF(F47, (IF($A$5,Q47*N47,S47*N47)), 0)</f>
        <v>0</v>
      </c>
      <c r="H47" s="12"/>
      <c r="I47" s="364" t="b">
        <v>0</v>
      </c>
      <c r="J47" s="12">
        <f>IF(I47, (IF($A$5,P47*N47,R47*N47)), 0)</f>
        <v>0</v>
      </c>
      <c r="K47" s="367" t="b">
        <v>0</v>
      </c>
      <c r="L47" s="11">
        <f>IF(K47, (IF($A$5,Q47*N47,S47*N47)), 0)</f>
        <v>0</v>
      </c>
      <c r="N47" s="368">
        <v>1</v>
      </c>
      <c r="O47" s="5" t="s">
        <v>16</v>
      </c>
      <c r="P47" s="409">
        <f>(0.16+0.32)/2</f>
        <v>0.24</v>
      </c>
      <c r="Q47" s="413">
        <f>(0.34+0.45)/2</f>
        <v>0.39500000000000002</v>
      </c>
      <c r="R47" s="98">
        <f>P47/(1+(U47/100))</f>
        <v>0.22429906542056072</v>
      </c>
      <c r="S47" s="98">
        <f>Q47/(1+(U47/100))</f>
        <v>0.36915887850467288</v>
      </c>
      <c r="T47" s="3" t="s">
        <v>58</v>
      </c>
      <c r="U47" s="92">
        <v>7</v>
      </c>
      <c r="W47" s="418">
        <f>(0.16+0.32)/2</f>
        <v>0.24</v>
      </c>
      <c r="X47" s="417">
        <f>(0.34+0.45)/2</f>
        <v>0.39500000000000002</v>
      </c>
    </row>
    <row r="48" spans="3:24" s="90" customFormat="1" ht="3.6" customHeight="1" x14ac:dyDescent="0.3">
      <c r="D48" s="404"/>
      <c r="E48" s="405"/>
      <c r="F48" s="406"/>
      <c r="G48" s="405"/>
      <c r="H48" s="405"/>
      <c r="I48" s="406"/>
      <c r="J48" s="405"/>
      <c r="K48" s="406"/>
      <c r="L48" s="405"/>
      <c r="M48" s="405"/>
      <c r="N48" s="404"/>
      <c r="P48" s="406"/>
      <c r="Q48" s="414"/>
      <c r="R48" s="91"/>
      <c r="S48" s="91"/>
      <c r="T48" s="91"/>
      <c r="U48" s="514"/>
      <c r="W48" s="506"/>
      <c r="X48" s="507"/>
    </row>
    <row r="49" spans="3:25" x14ac:dyDescent="0.3">
      <c r="C49" s="4" t="s">
        <v>51</v>
      </c>
      <c r="D49" s="364" t="b">
        <v>0</v>
      </c>
      <c r="E49" s="8">
        <f>IF(D49, (IF($A$5,P49*N49,R49*N49)), 0)</f>
        <v>0</v>
      </c>
      <c r="F49" s="366" t="b">
        <v>0</v>
      </c>
      <c r="G49" s="11">
        <f>IF(F49, (IF($A$5,Q49*N49,S49*N49)), 0)</f>
        <v>0</v>
      </c>
      <c r="H49" s="12"/>
      <c r="I49" s="364" t="b">
        <v>0</v>
      </c>
      <c r="J49" s="12">
        <f>IF(I49, (IF($A$5,P49*N49,R49*N49)), 0)</f>
        <v>0</v>
      </c>
      <c r="K49" s="367" t="b">
        <v>0</v>
      </c>
      <c r="L49" s="11">
        <f>IF(K49, (IF($A$5,Q49*N49,S49*N49)), 0)</f>
        <v>0</v>
      </c>
      <c r="N49" s="368">
        <v>1</v>
      </c>
      <c r="O49" s="5" t="s">
        <v>16</v>
      </c>
      <c r="P49" s="409">
        <f>(0.7+0.81)/2</f>
        <v>0.755</v>
      </c>
      <c r="Q49" s="413">
        <f>(0.86+1.03)/2</f>
        <v>0.94500000000000006</v>
      </c>
      <c r="R49" s="98">
        <f>P49/(1+(U49/100))</f>
        <v>0.70560747663551393</v>
      </c>
      <c r="S49" s="98">
        <f>Q49/(1+(U49/100))</f>
        <v>0.88317757009345799</v>
      </c>
      <c r="T49" s="3" t="s">
        <v>58</v>
      </c>
      <c r="U49" s="92">
        <v>7</v>
      </c>
      <c r="W49" s="418">
        <f>(0.7+0.81)/2</f>
        <v>0.755</v>
      </c>
      <c r="X49" s="417">
        <f>(0.86+1.03)/2</f>
        <v>0.94500000000000006</v>
      </c>
    </row>
    <row r="50" spans="3:25" x14ac:dyDescent="0.3">
      <c r="C50" s="4" t="s">
        <v>30</v>
      </c>
      <c r="D50" s="364" t="b">
        <v>0</v>
      </c>
      <c r="E50" s="8">
        <f>IF(D50, (IF($A$5,P50*N50,R50*N50)), 0)</f>
        <v>0</v>
      </c>
      <c r="F50" s="366" t="b">
        <v>1</v>
      </c>
      <c r="G50" s="11">
        <f>IF(F50, (IF($A$5,Q50*N50,S50*N50)), 0)</f>
        <v>1.79</v>
      </c>
      <c r="H50" s="13"/>
      <c r="I50" s="364" t="b">
        <v>0</v>
      </c>
      <c r="J50" s="12">
        <f>IF(I50, (IF($A$5,P50*N50,R50*N50)), 0)</f>
        <v>0</v>
      </c>
      <c r="K50" s="367" t="b">
        <v>0</v>
      </c>
      <c r="L50" s="11">
        <f>IF(K50, (IF($A$5,Q50*N50,S50*N50)), 0)</f>
        <v>0</v>
      </c>
      <c r="M50" s="10"/>
      <c r="N50" s="368">
        <v>1</v>
      </c>
      <c r="O50" s="5" t="s">
        <v>16</v>
      </c>
      <c r="P50" s="409">
        <f>(1.45+1.85)/2</f>
        <v>1.65</v>
      </c>
      <c r="Q50" s="413">
        <f>(1.38+2.2)/2</f>
        <v>1.79</v>
      </c>
      <c r="R50" s="98">
        <f>P50/(1+(U50/100))</f>
        <v>1.542056074766355</v>
      </c>
      <c r="S50" s="98">
        <f>Q50/(1+(U50/100))</f>
        <v>1.6728971962616821</v>
      </c>
      <c r="T50" s="3" t="s">
        <v>58</v>
      </c>
      <c r="U50" s="92">
        <v>7</v>
      </c>
      <c r="W50" s="418">
        <f>(1.45+1.85)/2</f>
        <v>1.65</v>
      </c>
      <c r="X50" s="417">
        <f>(1.38+2.2)/2</f>
        <v>1.79</v>
      </c>
    </row>
    <row r="51" spans="3:25" x14ac:dyDescent="0.3">
      <c r="C51" s="4" t="s">
        <v>42</v>
      </c>
      <c r="D51" s="364" t="b">
        <v>0</v>
      </c>
      <c r="E51" s="8">
        <f>IF(D51, (IF($A$5,P51*N51,R51*N51)), 0)</f>
        <v>0</v>
      </c>
      <c r="F51" s="366" t="b">
        <v>0</v>
      </c>
      <c r="G51" s="11">
        <f>IF(F51, (IF($A$5,Q51*N51,S51*N51)), 0)</f>
        <v>0</v>
      </c>
      <c r="H51" s="13"/>
      <c r="I51" s="364" t="b">
        <v>0</v>
      </c>
      <c r="J51" s="12">
        <f>IF(I51, (IF($A$5,P51*N51,R51*N51)), 0)</f>
        <v>0</v>
      </c>
      <c r="K51" s="367" t="b">
        <v>0</v>
      </c>
      <c r="L51" s="11">
        <f>IF(K51, (IF($A$5,Q51*N51,S51*N51)), 0)</f>
        <v>0</v>
      </c>
      <c r="M51" s="9"/>
      <c r="N51" s="368">
        <v>1</v>
      </c>
      <c r="O51" s="5" t="s">
        <v>16</v>
      </c>
      <c r="P51" s="409">
        <f>(0.92+1.1)/2</f>
        <v>1.01</v>
      </c>
      <c r="Q51" s="413">
        <f>(0.9+1.28)/2</f>
        <v>1.0900000000000001</v>
      </c>
      <c r="R51" s="98">
        <f>P51/(1+(U51/100))</f>
        <v>0.94392523364485981</v>
      </c>
      <c r="S51" s="98">
        <f>Q51/(1+(U51/100))</f>
        <v>1.0186915887850467</v>
      </c>
      <c r="T51" s="3" t="s">
        <v>58</v>
      </c>
      <c r="U51" s="92">
        <v>7</v>
      </c>
      <c r="W51" s="418">
        <f>(0.92+1.1)/2</f>
        <v>1.01</v>
      </c>
      <c r="X51" s="417">
        <f>(0.9+1.28)/2</f>
        <v>1.0900000000000001</v>
      </c>
    </row>
    <row r="52" spans="3:25" ht="3" customHeight="1" x14ac:dyDescent="0.3">
      <c r="C52" s="499"/>
      <c r="D52" s="500"/>
      <c r="F52" s="501"/>
      <c r="G52" s="11"/>
      <c r="H52" s="10"/>
      <c r="I52" s="500"/>
      <c r="J52" s="12"/>
      <c r="K52" s="501"/>
      <c r="L52" s="11"/>
      <c r="M52" s="9"/>
      <c r="N52" s="502"/>
      <c r="O52" s="5"/>
      <c r="P52" s="503"/>
      <c r="Q52" s="503"/>
      <c r="R52" s="6"/>
      <c r="S52" s="6"/>
      <c r="T52" s="5"/>
      <c r="U52" s="92"/>
      <c r="V52" s="5"/>
      <c r="W52" s="505"/>
      <c r="X52" s="505"/>
    </row>
    <row r="53" spans="3:25" x14ac:dyDescent="0.3">
      <c r="C53" s="516"/>
      <c r="D53" s="366" t="b">
        <v>0</v>
      </c>
      <c r="E53" s="8">
        <f>IF(D53, (IF($A$5,P53*N53,R53*N53)), 0)</f>
        <v>0</v>
      </c>
      <c r="F53" s="366"/>
      <c r="G53" s="11">
        <f t="shared" ref="G53:G56" si="15">IF(F53, (IF($A$5,Q53*N53,S53*N53)), 0)</f>
        <v>0</v>
      </c>
      <c r="H53" s="10"/>
      <c r="I53" s="366"/>
      <c r="J53" s="12">
        <f t="shared" ref="J53:J56" si="16">IF(I53, (IF($A$5,P53*N53,R53*N53)), 0)</f>
        <v>0</v>
      </c>
      <c r="K53" s="366"/>
      <c r="L53" s="11">
        <f t="shared" ref="L53:L56" si="17">IF(K53, (IF($A$5,Q53*N53,S53*N53)), 0)</f>
        <v>0</v>
      </c>
      <c r="M53" s="9"/>
      <c r="N53" s="368"/>
      <c r="O53" s="518" t="s">
        <v>16</v>
      </c>
      <c r="P53" s="508"/>
      <c r="Q53" s="508"/>
      <c r="R53" s="98">
        <f t="shared" ref="R53:R56" si="18">P53/(1+(U53/100))</f>
        <v>0</v>
      </c>
      <c r="S53" s="98">
        <f t="shared" ref="S53:S56" si="19">Q53/(1+(U53/100))</f>
        <v>0</v>
      </c>
      <c r="T53" s="3" t="s">
        <v>58</v>
      </c>
      <c r="U53" s="517"/>
      <c r="V53" s="5"/>
      <c r="W53" s="505"/>
      <c r="X53" s="505"/>
      <c r="Y53" s="509"/>
    </row>
    <row r="54" spans="3:25" x14ac:dyDescent="0.3">
      <c r="C54" s="516"/>
      <c r="D54" s="366"/>
      <c r="E54" s="8">
        <f t="shared" ref="E54:E56" si="20">IF(D54, (IF($A$5,P54*N54,R54*N54)), 0)</f>
        <v>0</v>
      </c>
      <c r="F54" s="366"/>
      <c r="G54" s="11">
        <f t="shared" si="15"/>
        <v>0</v>
      </c>
      <c r="H54" s="10"/>
      <c r="I54" s="366"/>
      <c r="J54" s="12">
        <f t="shared" si="16"/>
        <v>0</v>
      </c>
      <c r="K54" s="366"/>
      <c r="L54" s="11">
        <f t="shared" si="17"/>
        <v>0</v>
      </c>
      <c r="M54" s="9"/>
      <c r="N54" s="368"/>
      <c r="O54" s="518" t="s">
        <v>16</v>
      </c>
      <c r="P54" s="508"/>
      <c r="Q54" s="508"/>
      <c r="R54" s="98">
        <f t="shared" si="18"/>
        <v>0</v>
      </c>
      <c r="S54" s="98">
        <f t="shared" si="19"/>
        <v>0</v>
      </c>
      <c r="T54" s="3" t="s">
        <v>58</v>
      </c>
      <c r="U54" s="517"/>
      <c r="V54" s="5"/>
      <c r="W54" s="505"/>
      <c r="X54" s="505"/>
      <c r="Y54" s="509"/>
    </row>
    <row r="55" spans="3:25" x14ac:dyDescent="0.3">
      <c r="C55" s="516"/>
      <c r="D55" s="366"/>
      <c r="E55" s="8">
        <f t="shared" si="20"/>
        <v>0</v>
      </c>
      <c r="F55" s="366"/>
      <c r="G55" s="11">
        <f t="shared" si="15"/>
        <v>0</v>
      </c>
      <c r="H55" s="10"/>
      <c r="I55" s="366"/>
      <c r="J55" s="12">
        <f t="shared" si="16"/>
        <v>0</v>
      </c>
      <c r="K55" s="366"/>
      <c r="L55" s="11">
        <f t="shared" si="17"/>
        <v>0</v>
      </c>
      <c r="M55" s="9"/>
      <c r="N55" s="368"/>
      <c r="O55" s="518" t="s">
        <v>7</v>
      </c>
      <c r="P55" s="508"/>
      <c r="Q55" s="508"/>
      <c r="R55" s="98">
        <f t="shared" si="18"/>
        <v>0</v>
      </c>
      <c r="S55" s="98">
        <f t="shared" si="19"/>
        <v>0</v>
      </c>
      <c r="T55" s="3" t="s">
        <v>6</v>
      </c>
      <c r="U55" s="517"/>
      <c r="V55" s="5"/>
      <c r="W55" s="505"/>
      <c r="X55" s="505"/>
      <c r="Y55" s="509"/>
    </row>
    <row r="56" spans="3:25" x14ac:dyDescent="0.3">
      <c r="C56" s="516"/>
      <c r="D56" s="366" t="b">
        <v>0</v>
      </c>
      <c r="E56" s="8">
        <f t="shared" si="20"/>
        <v>0</v>
      </c>
      <c r="F56" s="366" t="b">
        <v>0</v>
      </c>
      <c r="G56" s="11">
        <f t="shared" si="15"/>
        <v>0</v>
      </c>
      <c r="H56" s="10"/>
      <c r="I56" s="366"/>
      <c r="J56" s="12">
        <f t="shared" si="16"/>
        <v>0</v>
      </c>
      <c r="K56" s="366"/>
      <c r="L56" s="11">
        <f t="shared" si="17"/>
        <v>0</v>
      </c>
      <c r="M56" s="9"/>
      <c r="N56" s="368"/>
      <c r="O56" s="518" t="s">
        <v>7</v>
      </c>
      <c r="P56" s="508"/>
      <c r="Q56" s="508"/>
      <c r="R56" s="98">
        <f t="shared" si="18"/>
        <v>0</v>
      </c>
      <c r="S56" s="98">
        <f t="shared" si="19"/>
        <v>0</v>
      </c>
      <c r="T56" s="3" t="s">
        <v>6</v>
      </c>
      <c r="U56" s="517"/>
      <c r="V56" s="5"/>
      <c r="W56" s="505"/>
      <c r="X56" s="505"/>
      <c r="Y56" s="509"/>
    </row>
    <row r="57" spans="3:25" s="95" customFormat="1" ht="15" thickBot="1" x14ac:dyDescent="0.35">
      <c r="E57" s="96"/>
      <c r="G57" s="96"/>
      <c r="H57" s="96"/>
      <c r="J57" s="96"/>
      <c r="L57" s="96"/>
      <c r="M57" s="96"/>
      <c r="R57" s="97">
        <f t="shared" ref="R57" si="21">P57/(1+(U57/100))</f>
        <v>0</v>
      </c>
      <c r="S57" s="97">
        <f t="shared" si="0"/>
        <v>0</v>
      </c>
      <c r="T57" s="519"/>
      <c r="U57" s="511"/>
    </row>
    <row r="58" spans="3:25" ht="15" thickBot="1" x14ac:dyDescent="0.35">
      <c r="C58" s="5"/>
      <c r="D58" s="521" t="s">
        <v>54</v>
      </c>
      <c r="E58" s="522"/>
      <c r="F58" s="522"/>
      <c r="G58" s="204">
        <f>SUM(E4:E57)+SUM(G4:G56)</f>
        <v>7.4083250000000005</v>
      </c>
      <c r="H58" s="10"/>
      <c r="I58" s="521" t="s">
        <v>55</v>
      </c>
      <c r="J58" s="522"/>
      <c r="K58" s="522"/>
      <c r="L58" s="204">
        <f>SUM(J4:J56)+SUM(L4:L56)</f>
        <v>0</v>
      </c>
      <c r="M58" s="9"/>
      <c r="O58" s="5"/>
      <c r="P58" s="5"/>
      <c r="Q58" s="5"/>
      <c r="R58" s="5"/>
      <c r="S58" s="5"/>
      <c r="T58" s="5"/>
      <c r="U58" s="92"/>
      <c r="V58" s="5"/>
    </row>
    <row r="59" spans="3:25" x14ac:dyDescent="0.3">
      <c r="Q59" s="5"/>
      <c r="R59" s="5"/>
      <c r="S59" s="5"/>
      <c r="T59" s="5"/>
      <c r="U59" s="92"/>
      <c r="V59" s="5"/>
    </row>
    <row r="60" spans="3:25" x14ac:dyDescent="0.3">
      <c r="D60" s="35"/>
      <c r="E60" s="35"/>
      <c r="F60" s="35"/>
      <c r="G60" s="32"/>
      <c r="H60" s="10"/>
      <c r="I60" s="35"/>
      <c r="J60" s="35"/>
      <c r="K60" s="35"/>
      <c r="L60" s="32"/>
      <c r="Q60" s="5"/>
      <c r="R60" s="5"/>
      <c r="S60" s="5"/>
      <c r="T60" s="5"/>
      <c r="U60" s="92"/>
      <c r="V60" s="5"/>
    </row>
    <row r="61" spans="3:25" x14ac:dyDescent="0.3">
      <c r="D61" s="18"/>
      <c r="E61" s="22"/>
      <c r="F61" s="22"/>
      <c r="G61" s="22"/>
      <c r="H61" s="10"/>
      <c r="I61" s="10"/>
      <c r="J61" s="22"/>
      <c r="K61" s="22"/>
      <c r="L61" s="22"/>
      <c r="M61" s="11"/>
      <c r="Q61" s="5"/>
      <c r="R61" s="5"/>
      <c r="S61" s="5"/>
      <c r="T61" s="5"/>
      <c r="U61" s="92"/>
      <c r="V61" s="5"/>
    </row>
    <row r="62" spans="3:25" x14ac:dyDescent="0.3">
      <c r="D62" s="33"/>
      <c r="E62" s="33"/>
      <c r="F62" s="33"/>
      <c r="G62" s="33"/>
      <c r="H62" s="33"/>
      <c r="I62" s="33"/>
      <c r="J62" s="33"/>
      <c r="K62" s="33"/>
      <c r="L62" s="34"/>
      <c r="Q62" s="5"/>
      <c r="R62" s="5"/>
      <c r="S62" s="5"/>
      <c r="T62" s="5"/>
      <c r="U62" s="92"/>
      <c r="V62" s="5"/>
    </row>
    <row r="63" spans="3:25" x14ac:dyDescent="0.3">
      <c r="D63" s="18"/>
      <c r="E63" s="10"/>
      <c r="F63" s="10"/>
      <c r="G63" s="10"/>
      <c r="H63" s="10"/>
      <c r="I63" s="10"/>
      <c r="J63" s="10"/>
      <c r="K63" s="10"/>
      <c r="L63" s="10"/>
      <c r="Q63" s="5"/>
      <c r="R63" s="5"/>
      <c r="S63" s="5"/>
      <c r="T63" s="5"/>
      <c r="U63" s="92"/>
      <c r="V63" s="5"/>
    </row>
    <row r="64" spans="3:25" x14ac:dyDescent="0.3">
      <c r="D64" s="5"/>
      <c r="E64" s="19"/>
      <c r="F64" s="19"/>
      <c r="G64" s="19"/>
      <c r="H64" s="19"/>
      <c r="I64" s="19"/>
      <c r="J64" s="19"/>
      <c r="K64" s="19"/>
      <c r="L64" s="19"/>
      <c r="Q64" s="5"/>
      <c r="R64" s="5"/>
      <c r="S64" s="5"/>
      <c r="T64" s="5"/>
      <c r="U64" s="92"/>
      <c r="V64" s="5"/>
    </row>
    <row r="65" spans="1:22" x14ac:dyDescent="0.3">
      <c r="C65" s="14"/>
      <c r="D65" s="6"/>
      <c r="E65" s="6"/>
      <c r="F65" s="5"/>
      <c r="G65" s="6"/>
      <c r="H65" s="6"/>
      <c r="I65" s="11"/>
      <c r="J65" s="11"/>
      <c r="K65" s="11"/>
      <c r="L65" s="11"/>
      <c r="Q65" s="5"/>
      <c r="R65" s="5"/>
      <c r="S65" s="5"/>
      <c r="T65" s="5"/>
      <c r="U65" s="92"/>
      <c r="V65" s="5"/>
    </row>
    <row r="66" spans="1:22" x14ac:dyDescent="0.3">
      <c r="C66" s="6"/>
      <c r="D66" s="19"/>
      <c r="E66" s="19"/>
      <c r="F66" s="19"/>
      <c r="G66" s="19"/>
      <c r="H66" s="19"/>
      <c r="I66" s="19"/>
      <c r="J66" s="19"/>
      <c r="K66" s="19"/>
      <c r="L66" s="19"/>
      <c r="M66" s="11"/>
      <c r="Q66" s="5"/>
      <c r="R66" s="5"/>
      <c r="S66" s="5"/>
      <c r="T66" s="5"/>
      <c r="U66" s="92"/>
      <c r="V66" s="5"/>
    </row>
    <row r="67" spans="1:22" x14ac:dyDescent="0.3">
      <c r="C67" s="5"/>
      <c r="D67" s="20"/>
      <c r="E67" s="19"/>
      <c r="F67" s="19"/>
      <c r="G67" s="19"/>
      <c r="H67" s="19"/>
      <c r="I67" s="19"/>
      <c r="J67" s="19"/>
      <c r="K67" s="19"/>
      <c r="L67" s="19"/>
      <c r="M67" s="11"/>
      <c r="Q67" s="5"/>
      <c r="R67" s="5"/>
      <c r="S67" s="5"/>
      <c r="T67" s="5"/>
      <c r="U67" s="92"/>
      <c r="V67" s="5"/>
    </row>
    <row r="68" spans="1:22" x14ac:dyDescent="0.3">
      <c r="A68" s="28" t="s">
        <v>345</v>
      </c>
      <c r="C68" s="5"/>
      <c r="D68" s="15"/>
      <c r="E68" s="16"/>
      <c r="F68" s="5"/>
      <c r="G68" s="15"/>
      <c r="H68" s="16"/>
      <c r="I68" s="11"/>
      <c r="J68" s="11"/>
      <c r="K68" s="11"/>
      <c r="L68" s="11"/>
      <c r="M68" s="11"/>
      <c r="Q68" s="5"/>
      <c r="R68" s="5"/>
      <c r="S68" s="5"/>
      <c r="T68" s="5"/>
      <c r="U68" s="92"/>
      <c r="V68" s="5"/>
    </row>
    <row r="69" spans="1:22" x14ac:dyDescent="0.3">
      <c r="C69" s="5"/>
      <c r="D69" s="5"/>
      <c r="E69" s="11"/>
      <c r="F69" s="11"/>
      <c r="G69" s="11"/>
      <c r="H69" s="11"/>
      <c r="I69" s="11"/>
      <c r="J69" s="11"/>
      <c r="K69" s="11"/>
      <c r="L69" s="11"/>
      <c r="M69" s="11"/>
      <c r="Q69" s="5"/>
      <c r="R69" s="5"/>
      <c r="S69" s="5"/>
      <c r="T69" s="5"/>
      <c r="U69" s="92"/>
      <c r="V69" s="5"/>
    </row>
    <row r="70" spans="1:22" x14ac:dyDescent="0.3">
      <c r="Q70" s="5"/>
      <c r="R70" s="5"/>
      <c r="S70" s="5"/>
      <c r="T70" s="5"/>
      <c r="U70" s="92"/>
      <c r="V70" s="5"/>
    </row>
    <row r="71" spans="1:22" x14ac:dyDescent="0.3">
      <c r="Q71" s="5"/>
      <c r="R71" s="5"/>
      <c r="S71" s="5"/>
      <c r="T71" s="5"/>
      <c r="U71" s="92"/>
      <c r="V71" s="5"/>
    </row>
    <row r="72" spans="1:22" x14ac:dyDescent="0.3">
      <c r="Q72" s="5"/>
      <c r="R72" s="5"/>
      <c r="S72" s="5"/>
      <c r="T72" s="5"/>
      <c r="U72" s="92"/>
      <c r="V72" s="5"/>
    </row>
    <row r="73" spans="1:22" x14ac:dyDescent="0.3">
      <c r="Q73" s="5"/>
      <c r="R73" s="5"/>
      <c r="S73" s="5"/>
      <c r="T73" s="5"/>
      <c r="U73" s="92"/>
      <c r="V73" s="5"/>
    </row>
    <row r="74" spans="1:22" x14ac:dyDescent="0.3">
      <c r="Q74" s="5"/>
      <c r="R74" s="5"/>
      <c r="S74" s="5"/>
      <c r="T74" s="5"/>
      <c r="U74" s="92"/>
      <c r="V74" s="5"/>
    </row>
    <row r="75" spans="1:22" x14ac:dyDescent="0.3">
      <c r="Q75" s="5"/>
      <c r="R75" s="5"/>
      <c r="S75" s="5"/>
      <c r="T75" s="5"/>
      <c r="U75" s="92"/>
      <c r="V75" s="5"/>
    </row>
    <row r="76" spans="1:22" x14ac:dyDescent="0.3">
      <c r="Q76" s="5"/>
      <c r="R76" s="5"/>
      <c r="S76" s="5"/>
      <c r="T76" s="5"/>
      <c r="U76" s="92"/>
      <c r="V76" s="5"/>
    </row>
    <row r="77" spans="1:22" x14ac:dyDescent="0.3">
      <c r="Q77" s="5"/>
      <c r="R77" s="5"/>
      <c r="S77" s="5"/>
      <c r="T77" s="5"/>
      <c r="U77" s="92"/>
      <c r="V77" s="5"/>
    </row>
    <row r="78" spans="1:22" x14ac:dyDescent="0.3">
      <c r="Q78" s="5"/>
      <c r="R78" s="5"/>
      <c r="S78" s="5"/>
      <c r="T78" s="5"/>
      <c r="U78" s="92"/>
      <c r="V78" s="5"/>
    </row>
    <row r="79" spans="1:22" x14ac:dyDescent="0.3">
      <c r="Q79" s="5"/>
      <c r="R79" s="5"/>
      <c r="S79" s="5"/>
      <c r="T79" s="5"/>
      <c r="U79" s="92"/>
      <c r="V79" s="5"/>
    </row>
    <row r="80" spans="1:22" x14ac:dyDescent="0.3">
      <c r="Q80" s="5"/>
      <c r="R80" s="5"/>
      <c r="S80" s="5"/>
      <c r="T80" s="5"/>
      <c r="U80" s="92"/>
      <c r="V80" s="5"/>
    </row>
    <row r="81" spans="17:22" x14ac:dyDescent="0.3">
      <c r="Q81" s="5"/>
      <c r="R81" s="5"/>
      <c r="S81" s="5"/>
      <c r="T81" s="5"/>
      <c r="U81" s="92"/>
      <c r="V81" s="5"/>
    </row>
    <row r="82" spans="17:22" x14ac:dyDescent="0.3">
      <c r="Q82" s="5"/>
      <c r="R82" s="5"/>
      <c r="S82" s="5"/>
      <c r="T82" s="5"/>
      <c r="U82" s="92"/>
      <c r="V82" s="5"/>
    </row>
    <row r="83" spans="17:22" x14ac:dyDescent="0.3">
      <c r="Q83" s="5"/>
      <c r="R83" s="5"/>
      <c r="S83" s="5"/>
      <c r="T83" s="5"/>
      <c r="U83" s="92"/>
      <c r="V83" s="5"/>
    </row>
    <row r="84" spans="17:22" x14ac:dyDescent="0.3">
      <c r="Q84" s="5"/>
      <c r="R84" s="5"/>
      <c r="S84" s="5"/>
      <c r="T84" s="5"/>
      <c r="U84" s="92"/>
      <c r="V84" s="5"/>
    </row>
    <row r="85" spans="17:22" x14ac:dyDescent="0.3">
      <c r="Q85" s="5"/>
      <c r="R85" s="5"/>
      <c r="S85" s="5"/>
      <c r="T85" s="5"/>
      <c r="U85" s="92"/>
      <c r="V85" s="5"/>
    </row>
    <row r="86" spans="17:22" x14ac:dyDescent="0.3">
      <c r="Q86" s="5"/>
      <c r="R86" s="5"/>
      <c r="S86" s="5"/>
      <c r="T86" s="5"/>
      <c r="U86" s="92"/>
      <c r="V86" s="5"/>
    </row>
    <row r="87" spans="17:22" x14ac:dyDescent="0.3">
      <c r="Q87" s="5"/>
      <c r="R87" s="5"/>
      <c r="S87" s="5"/>
      <c r="T87" s="5"/>
      <c r="U87" s="92"/>
      <c r="V87" s="5"/>
    </row>
    <row r="88" spans="17:22" x14ac:dyDescent="0.3">
      <c r="Q88" s="5"/>
      <c r="R88" s="5"/>
      <c r="S88" s="5"/>
      <c r="T88" s="5"/>
      <c r="U88" s="92"/>
      <c r="V88" s="5"/>
    </row>
    <row r="89" spans="17:22" x14ac:dyDescent="0.3">
      <c r="Q89" s="5"/>
      <c r="R89" s="5"/>
      <c r="S89" s="5"/>
      <c r="T89" s="5"/>
      <c r="U89" s="92"/>
      <c r="V89" s="5"/>
    </row>
    <row r="90" spans="17:22" x14ac:dyDescent="0.3">
      <c r="Q90" s="5"/>
      <c r="R90" s="5"/>
      <c r="S90" s="5"/>
      <c r="T90" s="5"/>
      <c r="U90" s="92"/>
      <c r="V90" s="5"/>
    </row>
    <row r="91" spans="17:22" x14ac:dyDescent="0.3">
      <c r="Q91" s="5"/>
      <c r="R91" s="5"/>
      <c r="S91" s="5"/>
      <c r="T91" s="5"/>
      <c r="U91" s="92"/>
      <c r="V91" s="5"/>
    </row>
    <row r="92" spans="17:22" x14ac:dyDescent="0.3">
      <c r="Q92" s="5"/>
      <c r="R92" s="5"/>
      <c r="S92" s="5"/>
      <c r="T92" s="5"/>
      <c r="U92" s="92"/>
      <c r="V92" s="5"/>
    </row>
    <row r="93" spans="17:22" x14ac:dyDescent="0.3">
      <c r="Q93" s="5"/>
      <c r="R93" s="5"/>
      <c r="S93" s="5"/>
      <c r="T93" s="5"/>
      <c r="U93" s="92"/>
      <c r="V93" s="5"/>
    </row>
    <row r="94" spans="17:22" x14ac:dyDescent="0.3">
      <c r="Q94" s="5"/>
      <c r="R94" s="5"/>
      <c r="S94" s="5"/>
      <c r="T94" s="5"/>
      <c r="U94" s="92"/>
      <c r="V94" s="5"/>
    </row>
    <row r="95" spans="17:22" x14ac:dyDescent="0.3">
      <c r="Q95" s="5"/>
      <c r="R95" s="5"/>
      <c r="S95" s="5"/>
      <c r="T95" s="5"/>
      <c r="U95" s="92"/>
      <c r="V95" s="5"/>
    </row>
    <row r="96" spans="17:22" x14ac:dyDescent="0.3">
      <c r="Q96" s="5"/>
      <c r="R96" s="5"/>
      <c r="S96" s="5"/>
      <c r="T96" s="5"/>
      <c r="U96" s="92"/>
      <c r="V96" s="5"/>
    </row>
    <row r="97" spans="17:22" x14ac:dyDescent="0.3">
      <c r="Q97" s="5"/>
      <c r="R97" s="5"/>
      <c r="S97" s="5"/>
      <c r="T97" s="5"/>
      <c r="U97" s="92"/>
      <c r="V97" s="5"/>
    </row>
    <row r="98" spans="17:22" x14ac:dyDescent="0.3">
      <c r="Q98" s="5"/>
      <c r="R98" s="5"/>
      <c r="S98" s="5"/>
      <c r="T98" s="5"/>
      <c r="U98" s="92"/>
      <c r="V98" s="5"/>
    </row>
    <row r="99" spans="17:22" x14ac:dyDescent="0.3">
      <c r="Q99" s="5"/>
      <c r="R99" s="5"/>
      <c r="S99" s="5"/>
      <c r="T99" s="5"/>
      <c r="U99" s="92"/>
      <c r="V99" s="5"/>
    </row>
    <row r="100" spans="17:22" x14ac:dyDescent="0.3">
      <c r="Q100" s="5"/>
      <c r="R100" s="5"/>
      <c r="S100" s="5"/>
      <c r="T100" s="5"/>
      <c r="U100" s="92"/>
      <c r="V100" s="5"/>
    </row>
    <row r="101" spans="17:22" x14ac:dyDescent="0.3">
      <c r="Q101" s="5"/>
      <c r="R101" s="5"/>
      <c r="S101" s="5"/>
      <c r="T101" s="5"/>
      <c r="U101" s="92"/>
      <c r="V101" s="5"/>
    </row>
    <row r="102" spans="17:22" x14ac:dyDescent="0.3">
      <c r="Q102" s="5"/>
      <c r="R102" s="5"/>
      <c r="S102" s="5"/>
      <c r="T102" s="5"/>
      <c r="U102" s="92"/>
      <c r="V102" s="5"/>
    </row>
    <row r="103" spans="17:22" x14ac:dyDescent="0.3">
      <c r="Q103" s="5"/>
      <c r="R103" s="5"/>
      <c r="S103" s="5"/>
      <c r="T103" s="5"/>
      <c r="U103" s="92"/>
      <c r="V103" s="5"/>
    </row>
    <row r="104" spans="17:22" x14ac:dyDescent="0.3">
      <c r="Q104" s="5"/>
      <c r="R104" s="5"/>
      <c r="S104" s="5"/>
      <c r="T104" s="5"/>
      <c r="U104" s="92"/>
      <c r="V104" s="5"/>
    </row>
    <row r="105" spans="17:22" x14ac:dyDescent="0.3">
      <c r="Q105" s="5"/>
      <c r="R105" s="5"/>
      <c r="S105" s="5"/>
      <c r="T105" s="5"/>
      <c r="U105" s="92"/>
      <c r="V105" s="5"/>
    </row>
    <row r="106" spans="17:22" x14ac:dyDescent="0.3">
      <c r="Q106" s="5"/>
      <c r="R106" s="5"/>
      <c r="S106" s="5"/>
      <c r="T106" s="5"/>
      <c r="U106" s="92"/>
      <c r="V106" s="5"/>
    </row>
    <row r="107" spans="17:22" x14ac:dyDescent="0.3">
      <c r="Q107" s="5"/>
      <c r="R107" s="5"/>
      <c r="S107" s="5"/>
      <c r="T107" s="5"/>
      <c r="U107" s="92"/>
      <c r="V107" s="5"/>
    </row>
    <row r="108" spans="17:22" x14ac:dyDescent="0.3">
      <c r="Q108" s="5"/>
      <c r="R108" s="5"/>
      <c r="S108" s="5"/>
      <c r="T108" s="5"/>
      <c r="U108" s="92"/>
      <c r="V108" s="5"/>
    </row>
    <row r="109" spans="17:22" x14ac:dyDescent="0.3">
      <c r="Q109" s="5"/>
      <c r="R109" s="5"/>
      <c r="S109" s="5"/>
      <c r="T109" s="5"/>
      <c r="U109" s="92"/>
      <c r="V109" s="5"/>
    </row>
    <row r="110" spans="17:22" x14ac:dyDescent="0.3">
      <c r="Q110" s="5"/>
      <c r="R110" s="5"/>
      <c r="S110" s="5"/>
      <c r="T110" s="5"/>
      <c r="U110" s="92"/>
      <c r="V110" s="5"/>
    </row>
    <row r="111" spans="17:22" x14ac:dyDescent="0.3">
      <c r="Q111" s="5"/>
      <c r="R111" s="5"/>
      <c r="S111" s="5"/>
      <c r="T111" s="5"/>
      <c r="U111" s="92"/>
      <c r="V111" s="5"/>
    </row>
    <row r="112" spans="17:22" x14ac:dyDescent="0.3">
      <c r="Q112" s="5"/>
      <c r="R112" s="5"/>
      <c r="S112" s="5"/>
      <c r="T112" s="5"/>
      <c r="U112" s="92"/>
      <c r="V112" s="5"/>
    </row>
    <row r="113" spans="17:22" x14ac:dyDescent="0.3">
      <c r="Q113" s="5"/>
      <c r="R113" s="5"/>
      <c r="S113" s="5"/>
      <c r="T113" s="5"/>
      <c r="U113" s="92"/>
      <c r="V113" s="5"/>
    </row>
    <row r="114" spans="17:22" x14ac:dyDescent="0.3">
      <c r="Q114" s="5"/>
      <c r="R114" s="5"/>
      <c r="S114" s="5"/>
      <c r="T114" s="5"/>
      <c r="U114" s="92"/>
      <c r="V114" s="5"/>
    </row>
    <row r="115" spans="17:22" x14ac:dyDescent="0.3">
      <c r="Q115" s="5"/>
      <c r="R115" s="5"/>
      <c r="S115" s="5"/>
      <c r="T115" s="5"/>
      <c r="U115" s="92"/>
      <c r="V115" s="5"/>
    </row>
    <row r="116" spans="17:22" x14ac:dyDescent="0.3">
      <c r="Q116" s="5"/>
      <c r="R116" s="5"/>
      <c r="S116" s="5"/>
      <c r="T116" s="5"/>
      <c r="U116" s="92"/>
      <c r="V116" s="5"/>
    </row>
    <row r="117" spans="17:22" x14ac:dyDescent="0.3">
      <c r="Q117" s="5"/>
      <c r="R117" s="5"/>
      <c r="S117" s="5"/>
      <c r="T117" s="5"/>
      <c r="U117" s="92"/>
      <c r="V117" s="5"/>
    </row>
    <row r="118" spans="17:22" x14ac:dyDescent="0.3">
      <c r="Q118" s="5"/>
      <c r="R118" s="5"/>
      <c r="S118" s="5"/>
      <c r="T118" s="5"/>
      <c r="U118" s="92"/>
      <c r="V118" s="5"/>
    </row>
    <row r="119" spans="17:22" x14ac:dyDescent="0.3">
      <c r="Q119" s="5"/>
      <c r="R119" s="5"/>
      <c r="S119" s="5"/>
      <c r="T119" s="5"/>
      <c r="U119" s="92"/>
      <c r="V119" s="5"/>
    </row>
    <row r="120" spans="17:22" x14ac:dyDescent="0.3">
      <c r="Q120" s="5"/>
      <c r="R120" s="5"/>
      <c r="S120" s="5"/>
      <c r="T120" s="5"/>
      <c r="U120" s="92"/>
      <c r="V120" s="5"/>
    </row>
    <row r="121" spans="17:22" x14ac:dyDescent="0.3">
      <c r="Q121" s="5"/>
      <c r="R121" s="5"/>
      <c r="S121" s="5"/>
      <c r="T121" s="5"/>
      <c r="U121" s="92"/>
      <c r="V121" s="5"/>
    </row>
    <row r="122" spans="17:22" x14ac:dyDescent="0.3">
      <c r="Q122" s="5"/>
      <c r="R122" s="5"/>
      <c r="S122" s="5"/>
      <c r="T122" s="5"/>
      <c r="U122" s="92"/>
      <c r="V122" s="5"/>
    </row>
    <row r="123" spans="17:22" x14ac:dyDescent="0.3">
      <c r="Q123" s="5"/>
      <c r="R123" s="5"/>
      <c r="S123" s="5"/>
      <c r="T123" s="5"/>
      <c r="U123" s="92"/>
      <c r="V123" s="5"/>
    </row>
    <row r="124" spans="17:22" x14ac:dyDescent="0.3">
      <c r="Q124" s="5"/>
      <c r="R124" s="5"/>
      <c r="S124" s="5"/>
      <c r="T124" s="5"/>
      <c r="U124" s="92"/>
      <c r="V124" s="5"/>
    </row>
    <row r="125" spans="17:22" x14ac:dyDescent="0.3">
      <c r="Q125" s="5"/>
      <c r="R125" s="5"/>
      <c r="S125" s="5"/>
      <c r="T125" s="5"/>
      <c r="U125" s="92"/>
      <c r="V125" s="5"/>
    </row>
    <row r="126" spans="17:22" x14ac:dyDescent="0.3">
      <c r="Q126" s="5"/>
      <c r="R126" s="5"/>
      <c r="S126" s="5"/>
      <c r="T126" s="5"/>
      <c r="U126" s="92"/>
      <c r="V126" s="5"/>
    </row>
    <row r="127" spans="17:22" x14ac:dyDescent="0.3">
      <c r="Q127" s="5"/>
      <c r="R127" s="5"/>
      <c r="S127" s="5"/>
      <c r="T127" s="5"/>
      <c r="U127" s="92"/>
      <c r="V127" s="5"/>
    </row>
    <row r="128" spans="17:22" x14ac:dyDescent="0.3">
      <c r="Q128" s="5"/>
      <c r="R128" s="5"/>
      <c r="S128" s="5"/>
      <c r="T128" s="5"/>
      <c r="U128" s="92"/>
      <c r="V128" s="5"/>
    </row>
    <row r="129" spans="17:22" x14ac:dyDescent="0.3">
      <c r="Q129" s="5"/>
      <c r="R129" s="5"/>
      <c r="S129" s="5"/>
      <c r="T129" s="5"/>
      <c r="U129" s="92"/>
      <c r="V129" s="5"/>
    </row>
    <row r="130" spans="17:22" x14ac:dyDescent="0.3">
      <c r="Q130" s="5"/>
      <c r="R130" s="5"/>
      <c r="S130" s="5"/>
      <c r="T130" s="5"/>
      <c r="U130" s="92"/>
      <c r="V130" s="5"/>
    </row>
    <row r="131" spans="17:22" x14ac:dyDescent="0.3">
      <c r="Q131" s="5"/>
      <c r="R131" s="5"/>
      <c r="S131" s="5"/>
      <c r="T131" s="5"/>
      <c r="U131" s="92"/>
      <c r="V131" s="5"/>
    </row>
    <row r="132" spans="17:22" x14ac:dyDescent="0.3">
      <c r="Q132" s="5"/>
      <c r="R132" s="5"/>
      <c r="S132" s="5"/>
      <c r="T132" s="5"/>
      <c r="U132" s="92"/>
      <c r="V132" s="5"/>
    </row>
    <row r="133" spans="17:22" x14ac:dyDescent="0.3">
      <c r="Q133" s="5"/>
      <c r="R133" s="5"/>
      <c r="S133" s="5"/>
      <c r="T133" s="5"/>
      <c r="U133" s="92"/>
      <c r="V133" s="5"/>
    </row>
    <row r="134" spans="17:22" x14ac:dyDescent="0.3">
      <c r="Q134" s="5"/>
      <c r="R134" s="5"/>
      <c r="S134" s="5"/>
      <c r="T134" s="5"/>
      <c r="U134" s="92"/>
      <c r="V134" s="5"/>
    </row>
    <row r="135" spans="17:22" x14ac:dyDescent="0.3">
      <c r="Q135" s="5"/>
      <c r="R135" s="5"/>
      <c r="S135" s="5"/>
      <c r="T135" s="5"/>
      <c r="U135" s="92"/>
      <c r="V135" s="5"/>
    </row>
    <row r="136" spans="17:22" x14ac:dyDescent="0.3">
      <c r="Q136" s="5"/>
      <c r="R136" s="5"/>
      <c r="S136" s="5"/>
      <c r="T136" s="5"/>
      <c r="U136" s="92"/>
      <c r="V136" s="5"/>
    </row>
    <row r="137" spans="17:22" x14ac:dyDescent="0.3">
      <c r="Q137" s="5"/>
      <c r="R137" s="5"/>
      <c r="S137" s="5"/>
      <c r="T137" s="5"/>
      <c r="U137" s="92"/>
      <c r="V137" s="5"/>
    </row>
    <row r="138" spans="17:22" x14ac:dyDescent="0.3">
      <c r="Q138" s="5"/>
      <c r="R138" s="5"/>
      <c r="S138" s="5"/>
      <c r="T138" s="5"/>
      <c r="U138" s="92"/>
      <c r="V138" s="5"/>
    </row>
    <row r="139" spans="17:22" x14ac:dyDescent="0.3">
      <c r="Q139" s="5"/>
      <c r="R139" s="5"/>
      <c r="S139" s="5"/>
      <c r="T139" s="5"/>
      <c r="U139" s="92"/>
      <c r="V139" s="5"/>
    </row>
    <row r="140" spans="17:22" x14ac:dyDescent="0.3">
      <c r="Q140" s="5"/>
      <c r="R140" s="5"/>
      <c r="S140" s="5"/>
      <c r="T140" s="5"/>
      <c r="U140" s="92"/>
      <c r="V140" s="5"/>
    </row>
    <row r="141" spans="17:22" x14ac:dyDescent="0.3">
      <c r="Q141" s="5"/>
      <c r="R141" s="5"/>
      <c r="S141" s="5"/>
      <c r="T141" s="5"/>
      <c r="U141" s="92"/>
      <c r="V141" s="5"/>
    </row>
    <row r="142" spans="17:22" x14ac:dyDescent="0.3">
      <c r="Q142" s="5"/>
      <c r="R142" s="5"/>
      <c r="S142" s="5"/>
      <c r="T142" s="5"/>
      <c r="U142" s="92"/>
      <c r="V142" s="5"/>
    </row>
    <row r="143" spans="17:22" x14ac:dyDescent="0.3">
      <c r="Q143" s="5"/>
      <c r="R143" s="5"/>
      <c r="S143" s="5"/>
      <c r="T143" s="5"/>
      <c r="U143" s="92"/>
      <c r="V143" s="5"/>
    </row>
    <row r="144" spans="17:22" x14ac:dyDescent="0.3">
      <c r="Q144" s="5"/>
      <c r="R144" s="5"/>
      <c r="S144" s="5"/>
      <c r="T144" s="5"/>
      <c r="U144" s="92"/>
      <c r="V144" s="5"/>
    </row>
    <row r="145" spans="17:22" x14ac:dyDescent="0.3">
      <c r="Q145" s="5"/>
      <c r="R145" s="5"/>
      <c r="S145" s="5"/>
      <c r="T145" s="5"/>
      <c r="U145" s="92"/>
      <c r="V145" s="5"/>
    </row>
    <row r="146" spans="17:22" x14ac:dyDescent="0.3">
      <c r="Q146" s="5"/>
      <c r="R146" s="5"/>
      <c r="S146" s="5"/>
      <c r="T146" s="5"/>
      <c r="U146" s="92"/>
      <c r="V146" s="5"/>
    </row>
    <row r="147" spans="17:22" x14ac:dyDescent="0.3">
      <c r="Q147" s="5"/>
      <c r="R147" s="5"/>
      <c r="S147" s="5"/>
      <c r="T147" s="5"/>
      <c r="U147" s="92"/>
      <c r="V147" s="5"/>
    </row>
    <row r="148" spans="17:22" x14ac:dyDescent="0.3">
      <c r="Q148" s="5"/>
      <c r="R148" s="5"/>
      <c r="S148" s="5"/>
      <c r="T148" s="5"/>
      <c r="U148" s="92"/>
      <c r="V148" s="5"/>
    </row>
    <row r="149" spans="17:22" x14ac:dyDescent="0.3">
      <c r="Q149" s="5"/>
      <c r="R149" s="5"/>
      <c r="S149" s="5"/>
      <c r="T149" s="5"/>
      <c r="U149" s="92"/>
      <c r="V149" s="5"/>
    </row>
    <row r="150" spans="17:22" x14ac:dyDescent="0.3">
      <c r="Q150" s="5"/>
      <c r="R150" s="5"/>
      <c r="S150" s="5"/>
      <c r="T150" s="5"/>
      <c r="U150" s="92"/>
      <c r="V150" s="5"/>
    </row>
    <row r="151" spans="17:22" x14ac:dyDescent="0.3">
      <c r="Q151" s="5"/>
      <c r="R151" s="5"/>
      <c r="S151" s="5"/>
      <c r="T151" s="5"/>
      <c r="U151" s="92"/>
      <c r="V151" s="5"/>
    </row>
    <row r="152" spans="17:22" x14ac:dyDescent="0.3">
      <c r="Q152" s="5"/>
      <c r="R152" s="5"/>
      <c r="S152" s="5"/>
      <c r="T152" s="5"/>
      <c r="U152" s="92"/>
      <c r="V152" s="5"/>
    </row>
    <row r="153" spans="17:22" x14ac:dyDescent="0.3">
      <c r="Q153" s="5"/>
      <c r="R153" s="5"/>
      <c r="S153" s="5"/>
      <c r="T153" s="5"/>
      <c r="U153" s="92"/>
      <c r="V153" s="5"/>
    </row>
    <row r="154" spans="17:22" x14ac:dyDescent="0.3">
      <c r="Q154" s="5"/>
      <c r="R154" s="5"/>
      <c r="S154" s="5"/>
      <c r="T154" s="5"/>
      <c r="U154" s="92"/>
      <c r="V154" s="5"/>
    </row>
    <row r="155" spans="17:22" x14ac:dyDescent="0.3">
      <c r="Q155" s="5"/>
      <c r="R155" s="5"/>
      <c r="S155" s="5"/>
      <c r="T155" s="5"/>
      <c r="U155" s="92"/>
      <c r="V155" s="5"/>
    </row>
    <row r="156" spans="17:22" x14ac:dyDescent="0.3">
      <c r="Q156" s="5"/>
      <c r="R156" s="5"/>
      <c r="S156" s="5"/>
      <c r="T156" s="5"/>
      <c r="U156" s="92"/>
      <c r="V156" s="5"/>
    </row>
    <row r="157" spans="17:22" x14ac:dyDescent="0.3">
      <c r="Q157" s="5"/>
      <c r="R157" s="5"/>
      <c r="S157" s="5"/>
      <c r="T157" s="5"/>
      <c r="U157" s="92"/>
      <c r="V157" s="5"/>
    </row>
    <row r="158" spans="17:22" x14ac:dyDescent="0.3">
      <c r="Q158" s="5"/>
      <c r="R158" s="5"/>
      <c r="S158" s="5"/>
      <c r="T158" s="5"/>
      <c r="U158" s="92"/>
      <c r="V158" s="5"/>
    </row>
    <row r="159" spans="17:22" x14ac:dyDescent="0.3">
      <c r="Q159" s="5"/>
      <c r="R159" s="5"/>
      <c r="S159" s="5"/>
      <c r="T159" s="5"/>
      <c r="U159" s="92"/>
      <c r="V159" s="5"/>
    </row>
    <row r="160" spans="17:22" x14ac:dyDescent="0.3">
      <c r="Q160" s="5"/>
      <c r="R160" s="5"/>
      <c r="S160" s="5"/>
      <c r="T160" s="5"/>
      <c r="U160" s="92"/>
      <c r="V160" s="5"/>
    </row>
    <row r="161" spans="17:22" x14ac:dyDescent="0.3">
      <c r="Q161" s="5"/>
      <c r="R161" s="5"/>
      <c r="S161" s="5"/>
      <c r="T161" s="5"/>
      <c r="U161" s="92"/>
      <c r="V161" s="5"/>
    </row>
    <row r="162" spans="17:22" x14ac:dyDescent="0.3">
      <c r="Q162" s="5"/>
      <c r="R162" s="5"/>
      <c r="S162" s="5"/>
      <c r="T162" s="5"/>
      <c r="U162" s="92"/>
      <c r="V162" s="5"/>
    </row>
    <row r="163" spans="17:22" x14ac:dyDescent="0.3">
      <c r="Q163" s="5"/>
      <c r="R163" s="5"/>
      <c r="S163" s="5"/>
      <c r="T163" s="5"/>
      <c r="U163" s="92"/>
      <c r="V163" s="5"/>
    </row>
    <row r="164" spans="17:22" x14ac:dyDescent="0.3">
      <c r="Q164" s="5"/>
      <c r="R164" s="5"/>
      <c r="S164" s="5"/>
      <c r="T164" s="5"/>
      <c r="U164" s="92"/>
      <c r="V164" s="5"/>
    </row>
    <row r="165" spans="17:22" x14ac:dyDescent="0.3">
      <c r="Q165" s="5"/>
      <c r="R165" s="5"/>
      <c r="S165" s="5"/>
      <c r="T165" s="5"/>
      <c r="U165" s="92"/>
      <c r="V165" s="5"/>
    </row>
    <row r="166" spans="17:22" x14ac:dyDescent="0.3">
      <c r="Q166" s="5"/>
      <c r="R166" s="5"/>
      <c r="S166" s="5"/>
      <c r="T166" s="5"/>
      <c r="U166" s="92"/>
      <c r="V166" s="5"/>
    </row>
    <row r="167" spans="17:22" x14ac:dyDescent="0.3">
      <c r="Q167" s="5"/>
      <c r="R167" s="5"/>
      <c r="S167" s="5"/>
      <c r="T167" s="5"/>
      <c r="U167" s="92"/>
      <c r="V167" s="5"/>
    </row>
    <row r="168" spans="17:22" x14ac:dyDescent="0.3">
      <c r="Q168" s="5"/>
      <c r="R168" s="5"/>
      <c r="S168" s="5"/>
      <c r="T168" s="5"/>
      <c r="U168" s="92"/>
      <c r="V168" s="5"/>
    </row>
    <row r="169" spans="17:22" x14ac:dyDescent="0.3">
      <c r="Q169" s="5"/>
      <c r="R169" s="5"/>
      <c r="S169" s="5"/>
      <c r="T169" s="5"/>
      <c r="U169" s="92"/>
      <c r="V169" s="5"/>
    </row>
    <row r="170" spans="17:22" x14ac:dyDescent="0.3">
      <c r="Q170" s="5"/>
      <c r="R170" s="5"/>
      <c r="S170" s="5"/>
      <c r="T170" s="5"/>
      <c r="U170" s="92"/>
      <c r="V170" s="5"/>
    </row>
    <row r="171" spans="17:22" x14ac:dyDescent="0.3">
      <c r="Q171" s="5"/>
      <c r="R171" s="5"/>
      <c r="S171" s="5"/>
      <c r="T171" s="5"/>
      <c r="U171" s="92"/>
      <c r="V171" s="5"/>
    </row>
    <row r="172" spans="17:22" x14ac:dyDescent="0.3">
      <c r="Q172" s="5"/>
      <c r="R172" s="5"/>
      <c r="S172" s="5"/>
      <c r="T172" s="5"/>
      <c r="U172" s="92"/>
      <c r="V172" s="5"/>
    </row>
    <row r="173" spans="17:22" x14ac:dyDescent="0.3">
      <c r="Q173" s="5"/>
      <c r="R173" s="5"/>
      <c r="S173" s="5"/>
      <c r="T173" s="5"/>
      <c r="U173" s="92"/>
      <c r="V173" s="5"/>
    </row>
    <row r="174" spans="17:22" x14ac:dyDescent="0.3">
      <c r="Q174" s="5"/>
      <c r="R174" s="5"/>
      <c r="S174" s="5"/>
      <c r="T174" s="5"/>
      <c r="U174" s="92"/>
      <c r="V174" s="5"/>
    </row>
    <row r="175" spans="17:22" x14ac:dyDescent="0.3">
      <c r="Q175" s="5"/>
      <c r="R175" s="5"/>
      <c r="S175" s="5"/>
      <c r="T175" s="5"/>
      <c r="U175" s="92"/>
      <c r="V175" s="5"/>
    </row>
    <row r="176" spans="17:22" x14ac:dyDescent="0.3">
      <c r="Q176" s="5"/>
      <c r="R176" s="5"/>
      <c r="S176" s="5"/>
      <c r="T176" s="5"/>
      <c r="U176" s="92"/>
      <c r="V176" s="5"/>
    </row>
    <row r="177" spans="17:22" x14ac:dyDescent="0.3">
      <c r="Q177" s="5"/>
      <c r="R177" s="5"/>
      <c r="S177" s="5"/>
      <c r="T177" s="5"/>
      <c r="U177" s="92"/>
      <c r="V177" s="5"/>
    </row>
    <row r="178" spans="17:22" x14ac:dyDescent="0.3">
      <c r="Q178" s="5"/>
      <c r="R178" s="5"/>
      <c r="S178" s="5"/>
      <c r="T178" s="5"/>
      <c r="U178" s="92"/>
      <c r="V178" s="5"/>
    </row>
    <row r="179" spans="17:22" x14ac:dyDescent="0.3">
      <c r="Q179" s="5"/>
      <c r="R179" s="5"/>
      <c r="S179" s="5"/>
      <c r="T179" s="5"/>
      <c r="U179" s="92"/>
      <c r="V179" s="5"/>
    </row>
    <row r="180" spans="17:22" x14ac:dyDescent="0.3">
      <c r="Q180" s="5"/>
      <c r="R180" s="5"/>
      <c r="S180" s="5"/>
      <c r="T180" s="5"/>
      <c r="U180" s="92"/>
      <c r="V180" s="5"/>
    </row>
    <row r="181" spans="17:22" x14ac:dyDescent="0.3">
      <c r="Q181" s="5"/>
      <c r="R181" s="5"/>
      <c r="S181" s="5"/>
      <c r="T181" s="5"/>
      <c r="U181" s="92"/>
      <c r="V181" s="5"/>
    </row>
    <row r="182" spans="17:22" x14ac:dyDescent="0.3">
      <c r="Q182" s="5"/>
      <c r="R182" s="5"/>
      <c r="S182" s="5"/>
      <c r="T182" s="5"/>
      <c r="U182" s="92"/>
      <c r="V182" s="5"/>
    </row>
    <row r="183" spans="17:22" x14ac:dyDescent="0.3">
      <c r="Q183" s="5"/>
      <c r="R183" s="5"/>
      <c r="S183" s="5"/>
      <c r="T183" s="5"/>
      <c r="U183" s="92"/>
      <c r="V183" s="5"/>
    </row>
    <row r="184" spans="17:22" x14ac:dyDescent="0.3">
      <c r="Q184" s="5"/>
      <c r="R184" s="5"/>
      <c r="S184" s="5"/>
      <c r="T184" s="5"/>
      <c r="U184" s="92"/>
      <c r="V184" s="5"/>
    </row>
    <row r="185" spans="17:22" x14ac:dyDescent="0.3">
      <c r="Q185" s="5"/>
      <c r="R185" s="5"/>
      <c r="S185" s="5"/>
      <c r="T185" s="5"/>
      <c r="U185" s="92"/>
      <c r="V185" s="5"/>
    </row>
    <row r="186" spans="17:22" x14ac:dyDescent="0.3">
      <c r="Q186" s="5"/>
      <c r="R186" s="5"/>
      <c r="S186" s="5"/>
      <c r="T186" s="5"/>
      <c r="U186" s="92"/>
      <c r="V186" s="5"/>
    </row>
    <row r="187" spans="17:22" x14ac:dyDescent="0.3">
      <c r="Q187" s="5"/>
      <c r="R187" s="5"/>
      <c r="S187" s="5"/>
      <c r="T187" s="5"/>
      <c r="U187" s="92"/>
      <c r="V187" s="5"/>
    </row>
    <row r="188" spans="17:22" x14ac:dyDescent="0.3">
      <c r="Q188" s="5"/>
      <c r="R188" s="5"/>
      <c r="S188" s="5"/>
      <c r="T188" s="5"/>
      <c r="U188" s="92"/>
      <c r="V188" s="5"/>
    </row>
    <row r="189" spans="17:22" x14ac:dyDescent="0.3">
      <c r="Q189" s="5"/>
      <c r="R189" s="5"/>
      <c r="S189" s="5"/>
      <c r="T189" s="5"/>
      <c r="U189" s="92"/>
      <c r="V189" s="5"/>
    </row>
    <row r="190" spans="17:22" x14ac:dyDescent="0.3">
      <c r="Q190" s="5"/>
      <c r="R190" s="5"/>
      <c r="S190" s="5"/>
      <c r="T190" s="5"/>
      <c r="U190" s="92"/>
      <c r="V190" s="5"/>
    </row>
    <row r="191" spans="17:22" x14ac:dyDescent="0.3">
      <c r="Q191" s="5"/>
      <c r="R191" s="5"/>
      <c r="S191" s="5"/>
      <c r="T191" s="5"/>
      <c r="U191" s="92"/>
      <c r="V191" s="5"/>
    </row>
    <row r="192" spans="17:22" x14ac:dyDescent="0.3">
      <c r="Q192" s="5"/>
      <c r="R192" s="5"/>
      <c r="S192" s="5"/>
      <c r="T192" s="5"/>
      <c r="U192" s="92"/>
      <c r="V192" s="5"/>
    </row>
    <row r="193" spans="17:22" x14ac:dyDescent="0.3">
      <c r="Q193" s="5"/>
      <c r="R193" s="5"/>
      <c r="S193" s="5"/>
      <c r="T193" s="5"/>
      <c r="U193" s="92"/>
      <c r="V193" s="5"/>
    </row>
    <row r="194" spans="17:22" x14ac:dyDescent="0.3">
      <c r="Q194" s="5"/>
      <c r="R194" s="5"/>
      <c r="S194" s="5"/>
      <c r="T194" s="5"/>
      <c r="U194" s="92"/>
      <c r="V194" s="5"/>
    </row>
    <row r="195" spans="17:22" x14ac:dyDescent="0.3">
      <c r="Q195" s="5"/>
      <c r="R195" s="5"/>
      <c r="S195" s="5"/>
      <c r="T195" s="5"/>
      <c r="U195" s="92"/>
      <c r="V195" s="5"/>
    </row>
    <row r="196" spans="17:22" x14ac:dyDescent="0.3">
      <c r="Q196" s="5"/>
      <c r="R196" s="5"/>
      <c r="S196" s="5"/>
      <c r="T196" s="5"/>
      <c r="U196" s="92"/>
      <c r="V196" s="5"/>
    </row>
    <row r="197" spans="17:22" x14ac:dyDescent="0.3">
      <c r="Q197" s="5"/>
      <c r="R197" s="5"/>
      <c r="S197" s="5"/>
      <c r="T197" s="5"/>
      <c r="U197" s="92"/>
      <c r="V197" s="5"/>
    </row>
    <row r="198" spans="17:22" x14ac:dyDescent="0.3">
      <c r="Q198" s="5"/>
      <c r="R198" s="5"/>
      <c r="S198" s="5"/>
      <c r="T198" s="5"/>
      <c r="U198" s="92"/>
      <c r="V198" s="5"/>
    </row>
    <row r="199" spans="17:22" x14ac:dyDescent="0.3">
      <c r="Q199" s="5"/>
      <c r="R199" s="5"/>
      <c r="S199" s="5"/>
      <c r="T199" s="5"/>
      <c r="U199" s="92"/>
      <c r="V199" s="5"/>
    </row>
    <row r="200" spans="17:22" x14ac:dyDescent="0.3">
      <c r="Q200" s="5"/>
      <c r="R200" s="5"/>
      <c r="S200" s="5"/>
      <c r="T200" s="5"/>
      <c r="U200" s="92"/>
      <c r="V200" s="5"/>
    </row>
    <row r="201" spans="17:22" x14ac:dyDescent="0.3">
      <c r="Q201" s="5"/>
      <c r="R201" s="5"/>
      <c r="S201" s="5"/>
      <c r="T201" s="5"/>
      <c r="U201" s="92"/>
      <c r="V201" s="5"/>
    </row>
    <row r="202" spans="17:22" x14ac:dyDescent="0.3">
      <c r="Q202" s="5"/>
      <c r="R202" s="5"/>
      <c r="S202" s="5"/>
      <c r="T202" s="5"/>
      <c r="U202" s="92"/>
      <c r="V202" s="5"/>
    </row>
    <row r="203" spans="17:22" x14ac:dyDescent="0.3">
      <c r="Q203" s="5"/>
      <c r="R203" s="5"/>
      <c r="S203" s="5"/>
      <c r="T203" s="5"/>
      <c r="U203" s="92"/>
      <c r="V203" s="5"/>
    </row>
    <row r="204" spans="17:22" x14ac:dyDescent="0.3">
      <c r="Q204" s="5"/>
      <c r="R204" s="5"/>
      <c r="S204" s="5"/>
      <c r="T204" s="5"/>
      <c r="U204" s="92"/>
      <c r="V204" s="5"/>
    </row>
    <row r="205" spans="17:22" x14ac:dyDescent="0.3">
      <c r="Q205" s="5"/>
      <c r="R205" s="5"/>
      <c r="S205" s="5"/>
      <c r="T205" s="5"/>
      <c r="U205" s="92"/>
      <c r="V205" s="5"/>
    </row>
    <row r="206" spans="17:22" x14ac:dyDescent="0.3">
      <c r="Q206" s="5"/>
      <c r="R206" s="5"/>
      <c r="S206" s="5"/>
      <c r="T206" s="5"/>
      <c r="U206" s="92"/>
      <c r="V206" s="5"/>
    </row>
    <row r="207" spans="17:22" x14ac:dyDescent="0.3">
      <c r="Q207" s="5"/>
      <c r="R207" s="5"/>
      <c r="S207" s="5"/>
      <c r="T207" s="5"/>
      <c r="U207" s="92"/>
      <c r="V207" s="5"/>
    </row>
    <row r="208" spans="17:22" x14ac:dyDescent="0.3">
      <c r="Q208" s="5"/>
      <c r="R208" s="5"/>
      <c r="S208" s="5"/>
      <c r="T208" s="5"/>
      <c r="U208" s="92"/>
      <c r="V208" s="5"/>
    </row>
    <row r="209" spans="17:22" x14ac:dyDescent="0.3">
      <c r="Q209" s="5"/>
      <c r="R209" s="5"/>
      <c r="S209" s="5"/>
      <c r="T209" s="5"/>
      <c r="U209" s="92"/>
      <c r="V209" s="5"/>
    </row>
    <row r="210" spans="17:22" x14ac:dyDescent="0.3">
      <c r="Q210" s="5"/>
      <c r="R210" s="5"/>
      <c r="S210" s="5"/>
      <c r="T210" s="5"/>
      <c r="U210" s="92"/>
      <c r="V210" s="5"/>
    </row>
    <row r="211" spans="17:22" x14ac:dyDescent="0.3">
      <c r="Q211" s="5"/>
      <c r="R211" s="5"/>
      <c r="S211" s="5"/>
      <c r="T211" s="5"/>
      <c r="U211" s="92"/>
      <c r="V211" s="5"/>
    </row>
    <row r="212" spans="17:22" x14ac:dyDescent="0.3">
      <c r="Q212" s="5"/>
      <c r="R212" s="5"/>
      <c r="S212" s="5"/>
      <c r="T212" s="5"/>
      <c r="U212" s="92"/>
      <c r="V212" s="5"/>
    </row>
    <row r="213" spans="17:22" x14ac:dyDescent="0.3">
      <c r="Q213" s="5"/>
      <c r="R213" s="5"/>
      <c r="S213" s="5"/>
      <c r="T213" s="5"/>
      <c r="U213" s="92"/>
      <c r="V213" s="5"/>
    </row>
    <row r="214" spans="17:22" x14ac:dyDescent="0.3">
      <c r="Q214" s="5"/>
      <c r="R214" s="5"/>
      <c r="S214" s="5"/>
      <c r="T214" s="5"/>
      <c r="U214" s="92"/>
      <c r="V214" s="5"/>
    </row>
    <row r="215" spans="17:22" x14ac:dyDescent="0.3">
      <c r="Q215" s="5"/>
      <c r="R215" s="5"/>
      <c r="S215" s="5"/>
      <c r="T215" s="5"/>
      <c r="U215" s="92"/>
      <c r="V215" s="5"/>
    </row>
    <row r="216" spans="17:22" x14ac:dyDescent="0.3">
      <c r="Q216" s="5"/>
      <c r="R216" s="5"/>
      <c r="S216" s="5"/>
      <c r="T216" s="5"/>
      <c r="U216" s="92"/>
      <c r="V216" s="5"/>
    </row>
    <row r="217" spans="17:22" x14ac:dyDescent="0.3">
      <c r="Q217" s="5"/>
      <c r="R217" s="5"/>
      <c r="S217" s="5"/>
      <c r="T217" s="5"/>
      <c r="U217" s="92"/>
      <c r="V217" s="5"/>
    </row>
    <row r="218" spans="17:22" x14ac:dyDescent="0.3">
      <c r="Q218" s="5"/>
      <c r="R218" s="5"/>
      <c r="S218" s="5"/>
      <c r="T218" s="5"/>
      <c r="U218" s="92"/>
      <c r="V218" s="5"/>
    </row>
    <row r="219" spans="17:22" x14ac:dyDescent="0.3">
      <c r="Q219" s="5"/>
      <c r="R219" s="5"/>
      <c r="S219" s="5"/>
      <c r="T219" s="5"/>
      <c r="U219" s="92"/>
      <c r="V219" s="5"/>
    </row>
    <row r="220" spans="17:22" x14ac:dyDescent="0.3">
      <c r="Q220" s="5"/>
      <c r="R220" s="5"/>
      <c r="S220" s="5"/>
      <c r="T220" s="5"/>
      <c r="U220" s="92"/>
      <c r="V220" s="5"/>
    </row>
    <row r="221" spans="17:22" x14ac:dyDescent="0.3">
      <c r="Q221" s="5"/>
      <c r="R221" s="5"/>
      <c r="S221" s="5"/>
      <c r="T221" s="5"/>
      <c r="U221" s="92"/>
      <c r="V221" s="5"/>
    </row>
    <row r="222" spans="17:22" x14ac:dyDescent="0.3">
      <c r="Q222" s="5"/>
      <c r="R222" s="5"/>
      <c r="S222" s="5"/>
      <c r="T222" s="5"/>
      <c r="U222" s="92"/>
      <c r="V222" s="5"/>
    </row>
    <row r="223" spans="17:22" x14ac:dyDescent="0.3">
      <c r="Q223" s="5"/>
      <c r="R223" s="5"/>
      <c r="S223" s="5"/>
      <c r="T223" s="5"/>
      <c r="U223" s="92"/>
      <c r="V223" s="5"/>
    </row>
    <row r="224" spans="17:22" x14ac:dyDescent="0.3">
      <c r="Q224" s="5"/>
      <c r="R224" s="5"/>
      <c r="S224" s="5"/>
      <c r="T224" s="5"/>
      <c r="U224" s="92"/>
      <c r="V224" s="5"/>
    </row>
    <row r="225" spans="17:22" x14ac:dyDescent="0.3">
      <c r="Q225" s="5"/>
      <c r="R225" s="5"/>
      <c r="S225" s="5"/>
      <c r="T225" s="5"/>
      <c r="U225" s="92"/>
      <c r="V225" s="5"/>
    </row>
    <row r="226" spans="17:22" x14ac:dyDescent="0.3">
      <c r="Q226" s="5"/>
      <c r="R226" s="5"/>
      <c r="S226" s="5"/>
      <c r="T226" s="5"/>
      <c r="U226" s="92"/>
      <c r="V226" s="5"/>
    </row>
    <row r="227" spans="17:22" x14ac:dyDescent="0.3">
      <c r="Q227" s="5"/>
      <c r="R227" s="5"/>
      <c r="S227" s="5"/>
      <c r="T227" s="5"/>
      <c r="U227" s="92"/>
      <c r="V227" s="5"/>
    </row>
    <row r="228" spans="17:22" x14ac:dyDescent="0.3">
      <c r="Q228" s="5"/>
      <c r="R228" s="5"/>
      <c r="S228" s="5"/>
      <c r="T228" s="5"/>
      <c r="U228" s="92"/>
      <c r="V228" s="5"/>
    </row>
    <row r="229" spans="17:22" x14ac:dyDescent="0.3">
      <c r="Q229" s="5"/>
      <c r="R229" s="5"/>
      <c r="S229" s="5"/>
      <c r="T229" s="5"/>
      <c r="U229" s="92"/>
      <c r="V229" s="5"/>
    </row>
    <row r="230" spans="17:22" x14ac:dyDescent="0.3">
      <c r="Q230" s="5"/>
      <c r="R230" s="5"/>
      <c r="S230" s="5"/>
      <c r="T230" s="5"/>
      <c r="U230" s="92"/>
      <c r="V230" s="5"/>
    </row>
    <row r="231" spans="17:22" x14ac:dyDescent="0.3">
      <c r="Q231" s="5"/>
      <c r="R231" s="5"/>
      <c r="S231" s="5"/>
      <c r="T231" s="5"/>
      <c r="U231" s="92"/>
      <c r="V231" s="5"/>
    </row>
    <row r="232" spans="17:22" x14ac:dyDescent="0.3">
      <c r="Q232" s="5"/>
      <c r="R232" s="5"/>
      <c r="S232" s="5"/>
      <c r="T232" s="5"/>
      <c r="U232" s="92"/>
      <c r="V232" s="5"/>
    </row>
    <row r="233" spans="17:22" x14ac:dyDescent="0.3">
      <c r="Q233" s="5"/>
      <c r="R233" s="5"/>
      <c r="S233" s="5"/>
      <c r="T233" s="5"/>
      <c r="U233" s="92"/>
      <c r="V233" s="5"/>
    </row>
    <row r="234" spans="17:22" x14ac:dyDescent="0.3">
      <c r="Q234" s="5"/>
      <c r="R234" s="5"/>
      <c r="S234" s="5"/>
      <c r="T234" s="5"/>
      <c r="U234" s="92"/>
      <c r="V234" s="5"/>
    </row>
    <row r="235" spans="17:22" x14ac:dyDescent="0.3">
      <c r="Q235" s="5"/>
      <c r="R235" s="5"/>
      <c r="S235" s="5"/>
      <c r="T235" s="5"/>
      <c r="U235" s="92"/>
      <c r="V235" s="5"/>
    </row>
    <row r="236" spans="17:22" x14ac:dyDescent="0.3">
      <c r="Q236" s="5"/>
      <c r="R236" s="5"/>
      <c r="S236" s="5"/>
      <c r="T236" s="5"/>
      <c r="U236" s="92"/>
      <c r="V236" s="5"/>
    </row>
    <row r="237" spans="17:22" x14ac:dyDescent="0.3">
      <c r="Q237" s="5"/>
      <c r="R237" s="5"/>
      <c r="S237" s="5"/>
      <c r="T237" s="5"/>
      <c r="U237" s="92"/>
      <c r="V237" s="5"/>
    </row>
    <row r="238" spans="17:22" x14ac:dyDescent="0.3">
      <c r="Q238" s="5"/>
      <c r="R238" s="5"/>
      <c r="S238" s="5"/>
      <c r="T238" s="5"/>
      <c r="U238" s="92"/>
      <c r="V238" s="5"/>
    </row>
    <row r="239" spans="17:22" x14ac:dyDescent="0.3">
      <c r="Q239" s="5"/>
      <c r="R239" s="5"/>
      <c r="S239" s="5"/>
      <c r="T239" s="5"/>
      <c r="U239" s="92"/>
      <c r="V239" s="5"/>
    </row>
    <row r="240" spans="17:22" x14ac:dyDescent="0.3">
      <c r="Q240" s="5"/>
      <c r="R240" s="5"/>
      <c r="S240" s="5"/>
      <c r="T240" s="5"/>
      <c r="U240" s="92"/>
      <c r="V240" s="5"/>
    </row>
    <row r="241" spans="17:22" x14ac:dyDescent="0.3">
      <c r="Q241" s="5"/>
      <c r="R241" s="5"/>
      <c r="S241" s="5"/>
      <c r="T241" s="5"/>
      <c r="U241" s="92"/>
      <c r="V241" s="5"/>
    </row>
    <row r="242" spans="17:22" x14ac:dyDescent="0.3">
      <c r="Q242" s="5"/>
      <c r="R242" s="5"/>
      <c r="S242" s="5"/>
      <c r="T242" s="5"/>
      <c r="U242" s="92"/>
      <c r="V242" s="5"/>
    </row>
    <row r="243" spans="17:22" x14ac:dyDescent="0.3">
      <c r="Q243" s="5"/>
      <c r="R243" s="5"/>
      <c r="S243" s="5"/>
      <c r="T243" s="5"/>
      <c r="U243" s="92"/>
      <c r="V243" s="5"/>
    </row>
    <row r="244" spans="17:22" x14ac:dyDescent="0.3">
      <c r="Q244" s="5"/>
      <c r="R244" s="5"/>
      <c r="S244" s="5"/>
      <c r="T244" s="5"/>
      <c r="U244" s="92"/>
      <c r="V244" s="5"/>
    </row>
    <row r="245" spans="17:22" x14ac:dyDescent="0.3">
      <c r="Q245" s="5"/>
      <c r="R245" s="5"/>
      <c r="S245" s="5"/>
      <c r="T245" s="5"/>
      <c r="U245" s="92"/>
      <c r="V245" s="5"/>
    </row>
    <row r="246" spans="17:22" x14ac:dyDescent="0.3">
      <c r="Q246" s="5"/>
      <c r="R246" s="5"/>
      <c r="S246" s="5"/>
      <c r="T246" s="5"/>
      <c r="U246" s="92"/>
      <c r="V246" s="5"/>
    </row>
    <row r="247" spans="17:22" x14ac:dyDescent="0.3">
      <c r="Q247" s="5"/>
      <c r="R247" s="5"/>
      <c r="S247" s="5"/>
      <c r="T247" s="5"/>
      <c r="U247" s="92"/>
      <c r="V247" s="5"/>
    </row>
    <row r="248" spans="17:22" x14ac:dyDescent="0.3">
      <c r="Q248" s="5"/>
      <c r="R248" s="5"/>
      <c r="S248" s="5"/>
      <c r="T248" s="5"/>
      <c r="U248" s="92"/>
      <c r="V248" s="5"/>
    </row>
    <row r="249" spans="17:22" x14ac:dyDescent="0.3">
      <c r="Q249" s="5"/>
      <c r="R249" s="5"/>
      <c r="S249" s="5"/>
      <c r="T249" s="5"/>
      <c r="U249" s="92"/>
      <c r="V249" s="5"/>
    </row>
    <row r="250" spans="17:22" x14ac:dyDescent="0.3">
      <c r="Q250" s="5"/>
      <c r="R250" s="5"/>
      <c r="S250" s="5"/>
      <c r="T250" s="5"/>
      <c r="U250" s="92"/>
      <c r="V250" s="5"/>
    </row>
    <row r="251" spans="17:22" x14ac:dyDescent="0.3">
      <c r="Q251" s="5"/>
      <c r="R251" s="5"/>
      <c r="S251" s="5"/>
      <c r="T251" s="5"/>
      <c r="U251" s="92"/>
      <c r="V251" s="5"/>
    </row>
    <row r="252" spans="17:22" x14ac:dyDescent="0.3">
      <c r="Q252" s="5"/>
      <c r="R252" s="5"/>
      <c r="S252" s="5"/>
      <c r="T252" s="5"/>
      <c r="U252" s="92"/>
      <c r="V252" s="5"/>
    </row>
    <row r="253" spans="17:22" x14ac:dyDescent="0.3">
      <c r="Q253" s="5"/>
      <c r="R253" s="5"/>
      <c r="S253" s="5"/>
      <c r="T253" s="5"/>
      <c r="U253" s="92"/>
      <c r="V253" s="5"/>
    </row>
    <row r="254" spans="17:22" x14ac:dyDescent="0.3">
      <c r="Q254" s="5"/>
      <c r="R254" s="5"/>
      <c r="S254" s="5"/>
      <c r="T254" s="5"/>
      <c r="U254" s="92"/>
      <c r="V254" s="5"/>
    </row>
    <row r="255" spans="17:22" x14ac:dyDescent="0.3">
      <c r="Q255" s="5"/>
      <c r="R255" s="5"/>
      <c r="S255" s="5"/>
      <c r="T255" s="5"/>
      <c r="U255" s="92"/>
      <c r="V255" s="5"/>
    </row>
    <row r="256" spans="17:22" x14ac:dyDescent="0.3">
      <c r="Q256" s="5"/>
      <c r="R256" s="5"/>
      <c r="S256" s="5"/>
      <c r="T256" s="5"/>
      <c r="U256" s="92"/>
      <c r="V256" s="5"/>
    </row>
    <row r="257" spans="17:22" x14ac:dyDescent="0.3">
      <c r="Q257" s="5"/>
      <c r="R257" s="5"/>
      <c r="S257" s="5"/>
      <c r="T257" s="5"/>
      <c r="U257" s="92"/>
      <c r="V257" s="5"/>
    </row>
    <row r="258" spans="17:22" x14ac:dyDescent="0.3">
      <c r="Q258" s="5"/>
      <c r="R258" s="5"/>
      <c r="S258" s="5"/>
      <c r="T258" s="5"/>
      <c r="U258" s="92"/>
      <c r="V258" s="5"/>
    </row>
    <row r="259" spans="17:22" x14ac:dyDescent="0.3">
      <c r="Q259" s="5"/>
      <c r="R259" s="5"/>
      <c r="S259" s="5"/>
      <c r="T259" s="5"/>
      <c r="U259" s="92"/>
      <c r="V259" s="5"/>
    </row>
    <row r="260" spans="17:22" x14ac:dyDescent="0.3">
      <c r="Q260" s="5"/>
      <c r="R260" s="5"/>
      <c r="S260" s="5"/>
      <c r="T260" s="5"/>
      <c r="U260" s="92"/>
      <c r="V260" s="5"/>
    </row>
    <row r="261" spans="17:22" x14ac:dyDescent="0.3">
      <c r="Q261" s="5"/>
      <c r="R261" s="5"/>
      <c r="S261" s="5"/>
      <c r="T261" s="5"/>
      <c r="U261" s="92"/>
      <c r="V261" s="5"/>
    </row>
    <row r="262" spans="17:22" x14ac:dyDescent="0.3">
      <c r="Q262" s="5"/>
      <c r="R262" s="5"/>
      <c r="S262" s="5"/>
      <c r="T262" s="5"/>
      <c r="U262" s="92"/>
      <c r="V262" s="5"/>
    </row>
    <row r="263" spans="17:22" x14ac:dyDescent="0.3">
      <c r="Q263" s="5"/>
      <c r="R263" s="5"/>
      <c r="S263" s="5"/>
      <c r="T263" s="5"/>
      <c r="U263" s="92"/>
      <c r="V263" s="5"/>
    </row>
    <row r="264" spans="17:22" x14ac:dyDescent="0.3">
      <c r="Q264" s="5"/>
      <c r="R264" s="5"/>
      <c r="S264" s="5"/>
      <c r="T264" s="5"/>
      <c r="U264" s="92"/>
      <c r="V264" s="5"/>
    </row>
    <row r="265" spans="17:22" x14ac:dyDescent="0.3">
      <c r="Q265" s="5"/>
      <c r="R265" s="5"/>
      <c r="S265" s="5"/>
      <c r="T265" s="5"/>
      <c r="U265" s="92"/>
      <c r="V265" s="5"/>
    </row>
    <row r="266" spans="17:22" x14ac:dyDescent="0.3">
      <c r="Q266" s="5"/>
      <c r="R266" s="5"/>
      <c r="S266" s="5"/>
      <c r="T266" s="5"/>
      <c r="U266" s="92"/>
      <c r="V266" s="5"/>
    </row>
    <row r="267" spans="17:22" x14ac:dyDescent="0.3">
      <c r="Q267" s="5"/>
      <c r="R267" s="5"/>
      <c r="S267" s="5"/>
      <c r="T267" s="5"/>
      <c r="U267" s="92"/>
      <c r="V267" s="5"/>
    </row>
    <row r="268" spans="17:22" x14ac:dyDescent="0.3">
      <c r="Q268" s="5"/>
      <c r="R268" s="5"/>
      <c r="S268" s="5"/>
      <c r="T268" s="5"/>
      <c r="U268" s="92"/>
      <c r="V268" s="5"/>
    </row>
    <row r="269" spans="17:22" x14ac:dyDescent="0.3">
      <c r="Q269" s="5"/>
      <c r="R269" s="5"/>
      <c r="S269" s="5"/>
      <c r="T269" s="5"/>
      <c r="U269" s="92"/>
      <c r="V269" s="5"/>
    </row>
    <row r="270" spans="17:22" x14ac:dyDescent="0.3">
      <c r="Q270" s="5"/>
      <c r="R270" s="5"/>
      <c r="S270" s="5"/>
      <c r="T270" s="5"/>
      <c r="U270" s="92"/>
      <c r="V270" s="5"/>
    </row>
    <row r="271" spans="17:22" x14ac:dyDescent="0.3">
      <c r="Q271" s="5"/>
      <c r="R271" s="5"/>
      <c r="S271" s="5"/>
      <c r="T271" s="5"/>
      <c r="U271" s="92"/>
      <c r="V271" s="5"/>
    </row>
    <row r="272" spans="17:22" x14ac:dyDescent="0.3">
      <c r="Q272" s="5"/>
      <c r="R272" s="5"/>
      <c r="S272" s="5"/>
      <c r="T272" s="5"/>
      <c r="U272" s="92"/>
      <c r="V272" s="5"/>
    </row>
    <row r="273" spans="17:22" x14ac:dyDescent="0.3">
      <c r="Q273" s="5"/>
      <c r="R273" s="5"/>
      <c r="S273" s="5"/>
      <c r="T273" s="5"/>
      <c r="U273" s="92"/>
      <c r="V273" s="5"/>
    </row>
    <row r="274" spans="17:22" x14ac:dyDescent="0.3">
      <c r="Q274" s="5"/>
      <c r="R274" s="5"/>
      <c r="S274" s="5"/>
      <c r="T274" s="5"/>
      <c r="U274" s="92"/>
      <c r="V274" s="5"/>
    </row>
    <row r="275" spans="17:22" x14ac:dyDescent="0.3">
      <c r="Q275" s="5"/>
      <c r="R275" s="5"/>
      <c r="S275" s="5"/>
      <c r="T275" s="5"/>
      <c r="U275" s="92"/>
      <c r="V275" s="5"/>
    </row>
    <row r="276" spans="17:22" x14ac:dyDescent="0.3">
      <c r="Q276" s="5"/>
      <c r="R276" s="5"/>
      <c r="S276" s="5"/>
      <c r="T276" s="5"/>
      <c r="U276" s="92"/>
      <c r="V276" s="5"/>
    </row>
    <row r="277" spans="17:22" x14ac:dyDescent="0.3">
      <c r="Q277" s="5"/>
      <c r="R277" s="5"/>
      <c r="S277" s="5"/>
      <c r="T277" s="5"/>
      <c r="U277" s="92"/>
      <c r="V277" s="5"/>
    </row>
    <row r="278" spans="17:22" x14ac:dyDescent="0.3">
      <c r="Q278" s="5"/>
      <c r="R278" s="5"/>
      <c r="S278" s="5"/>
      <c r="T278" s="5"/>
      <c r="U278" s="92"/>
      <c r="V278" s="5"/>
    </row>
    <row r="279" spans="17:22" x14ac:dyDescent="0.3">
      <c r="Q279" s="5"/>
      <c r="R279" s="5"/>
      <c r="S279" s="5"/>
      <c r="T279" s="5"/>
      <c r="U279" s="92"/>
      <c r="V279" s="5"/>
    </row>
    <row r="280" spans="17:22" x14ac:dyDescent="0.3">
      <c r="Q280" s="5"/>
      <c r="R280" s="5"/>
      <c r="S280" s="5"/>
      <c r="T280" s="5"/>
      <c r="U280" s="92"/>
      <c r="V280" s="5"/>
    </row>
    <row r="281" spans="17:22" x14ac:dyDescent="0.3">
      <c r="Q281" s="5"/>
      <c r="R281" s="5"/>
      <c r="S281" s="5"/>
      <c r="T281" s="5"/>
      <c r="U281" s="92"/>
      <c r="V281" s="5"/>
    </row>
    <row r="282" spans="17:22" x14ac:dyDescent="0.3">
      <c r="Q282" s="5"/>
      <c r="R282" s="5"/>
      <c r="S282" s="5"/>
      <c r="T282" s="5"/>
      <c r="U282" s="92"/>
      <c r="V282" s="5"/>
    </row>
    <row r="283" spans="17:22" x14ac:dyDescent="0.3">
      <c r="Q283" s="5"/>
      <c r="R283" s="5"/>
      <c r="S283" s="5"/>
      <c r="T283" s="5"/>
      <c r="U283" s="92"/>
      <c r="V283" s="5"/>
    </row>
    <row r="284" spans="17:22" x14ac:dyDescent="0.3">
      <c r="Q284" s="5"/>
      <c r="R284" s="5"/>
      <c r="S284" s="5"/>
      <c r="T284" s="5"/>
      <c r="U284" s="92"/>
      <c r="V284" s="5"/>
    </row>
    <row r="285" spans="17:22" x14ac:dyDescent="0.3">
      <c r="Q285" s="5"/>
      <c r="R285" s="5"/>
      <c r="S285" s="5"/>
      <c r="T285" s="5"/>
      <c r="U285" s="92"/>
      <c r="V285" s="5"/>
    </row>
    <row r="286" spans="17:22" x14ac:dyDescent="0.3">
      <c r="Q286" s="5"/>
      <c r="R286" s="5"/>
      <c r="S286" s="5"/>
      <c r="T286" s="5"/>
      <c r="U286" s="92"/>
      <c r="V286" s="5"/>
    </row>
    <row r="287" spans="17:22" x14ac:dyDescent="0.3">
      <c r="Q287" s="5"/>
      <c r="R287" s="5"/>
      <c r="S287" s="5"/>
      <c r="T287" s="5"/>
      <c r="U287" s="92"/>
      <c r="V287" s="5"/>
    </row>
    <row r="288" spans="17:22" x14ac:dyDescent="0.3">
      <c r="Q288" s="5"/>
      <c r="R288" s="5"/>
      <c r="S288" s="5"/>
      <c r="T288" s="5"/>
      <c r="U288" s="92"/>
      <c r="V288" s="5"/>
    </row>
    <row r="289" spans="17:22" x14ac:dyDescent="0.3">
      <c r="Q289" s="5"/>
      <c r="R289" s="5"/>
      <c r="S289" s="5"/>
      <c r="T289" s="5"/>
      <c r="U289" s="92"/>
      <c r="V289" s="5"/>
    </row>
    <row r="290" spans="17:22" x14ac:dyDescent="0.3">
      <c r="Q290" s="5"/>
      <c r="R290" s="5"/>
      <c r="S290" s="5"/>
      <c r="T290" s="5"/>
      <c r="U290" s="92"/>
      <c r="V290" s="5"/>
    </row>
    <row r="291" spans="17:22" x14ac:dyDescent="0.3">
      <c r="Q291" s="5"/>
      <c r="R291" s="5"/>
      <c r="S291" s="5"/>
      <c r="T291" s="5"/>
      <c r="U291" s="92"/>
      <c r="V291" s="5"/>
    </row>
    <row r="292" spans="17:22" x14ac:dyDescent="0.3">
      <c r="Q292" s="5"/>
      <c r="R292" s="5"/>
      <c r="S292" s="5"/>
      <c r="T292" s="5"/>
      <c r="U292" s="92"/>
      <c r="V292" s="5"/>
    </row>
    <row r="293" spans="17:22" x14ac:dyDescent="0.3">
      <c r="Q293" s="5"/>
      <c r="R293" s="5"/>
      <c r="S293" s="5"/>
      <c r="T293" s="5"/>
      <c r="U293" s="92"/>
      <c r="V293" s="5"/>
    </row>
    <row r="294" spans="17:22" x14ac:dyDescent="0.3">
      <c r="Q294" s="5"/>
      <c r="R294" s="5"/>
      <c r="S294" s="5"/>
      <c r="T294" s="5"/>
      <c r="U294" s="92"/>
      <c r="V294" s="5"/>
    </row>
    <row r="295" spans="17:22" x14ac:dyDescent="0.3">
      <c r="Q295" s="5"/>
      <c r="R295" s="5"/>
      <c r="S295" s="5"/>
      <c r="T295" s="5"/>
      <c r="U295" s="92"/>
      <c r="V295" s="5"/>
    </row>
    <row r="296" spans="17:22" x14ac:dyDescent="0.3">
      <c r="Q296" s="5"/>
      <c r="R296" s="5"/>
      <c r="S296" s="5"/>
      <c r="T296" s="5"/>
      <c r="U296" s="92"/>
      <c r="V296" s="5"/>
    </row>
    <row r="297" spans="17:22" x14ac:dyDescent="0.3">
      <c r="Q297" s="5"/>
      <c r="R297" s="5"/>
      <c r="S297" s="5"/>
      <c r="T297" s="5"/>
      <c r="U297" s="92"/>
      <c r="V297" s="5"/>
    </row>
    <row r="298" spans="17:22" x14ac:dyDescent="0.3">
      <c r="Q298" s="5"/>
      <c r="R298" s="5"/>
      <c r="S298" s="5"/>
      <c r="T298" s="5"/>
      <c r="U298" s="92"/>
      <c r="V298" s="5"/>
    </row>
    <row r="299" spans="17:22" x14ac:dyDescent="0.3">
      <c r="Q299" s="5"/>
      <c r="R299" s="5"/>
      <c r="S299" s="5"/>
      <c r="T299" s="5"/>
      <c r="U299" s="92"/>
      <c r="V299" s="5"/>
    </row>
    <row r="300" spans="17:22" x14ac:dyDescent="0.3">
      <c r="Q300" s="5"/>
      <c r="R300" s="5"/>
      <c r="S300" s="5"/>
      <c r="T300" s="5"/>
      <c r="U300" s="92"/>
      <c r="V300" s="5"/>
    </row>
    <row r="301" spans="17:22" x14ac:dyDescent="0.3">
      <c r="Q301" s="5"/>
      <c r="R301" s="5"/>
      <c r="S301" s="5"/>
      <c r="T301" s="5"/>
      <c r="U301" s="92"/>
      <c r="V301" s="5"/>
    </row>
    <row r="302" spans="17:22" x14ac:dyDescent="0.3">
      <c r="Q302" s="5"/>
      <c r="R302" s="5"/>
      <c r="S302" s="5"/>
      <c r="T302" s="5"/>
      <c r="U302" s="92"/>
      <c r="V302" s="5"/>
    </row>
    <row r="303" spans="17:22" x14ac:dyDescent="0.3">
      <c r="Q303" s="5"/>
      <c r="R303" s="5"/>
      <c r="S303" s="5"/>
      <c r="T303" s="5"/>
      <c r="U303" s="92"/>
      <c r="V303" s="5"/>
    </row>
    <row r="304" spans="17:22" x14ac:dyDescent="0.3">
      <c r="Q304" s="5"/>
      <c r="R304" s="5"/>
      <c r="S304" s="5"/>
      <c r="T304" s="5"/>
      <c r="U304" s="92"/>
      <c r="V304" s="5"/>
    </row>
    <row r="305" spans="17:22" x14ac:dyDescent="0.3">
      <c r="Q305" s="5"/>
      <c r="R305" s="5"/>
      <c r="S305" s="5"/>
      <c r="T305" s="5"/>
      <c r="U305" s="92"/>
      <c r="V305" s="5"/>
    </row>
    <row r="306" spans="17:22" x14ac:dyDescent="0.3">
      <c r="Q306" s="5"/>
      <c r="R306" s="5"/>
      <c r="S306" s="5"/>
      <c r="T306" s="5"/>
      <c r="U306" s="92"/>
      <c r="V306" s="5"/>
    </row>
    <row r="307" spans="17:22" x14ac:dyDescent="0.3">
      <c r="Q307" s="5"/>
      <c r="R307" s="5"/>
      <c r="S307" s="5"/>
      <c r="T307" s="5"/>
      <c r="U307" s="92"/>
      <c r="V307" s="5"/>
    </row>
    <row r="308" spans="17:22" x14ac:dyDescent="0.3">
      <c r="Q308" s="5"/>
      <c r="R308" s="5"/>
      <c r="S308" s="5"/>
      <c r="T308" s="5"/>
      <c r="U308" s="92"/>
      <c r="V308" s="5"/>
    </row>
    <row r="309" spans="17:22" x14ac:dyDescent="0.3">
      <c r="Q309" s="5"/>
      <c r="R309" s="5"/>
      <c r="S309" s="5"/>
      <c r="T309" s="5"/>
      <c r="U309" s="92"/>
      <c r="V309" s="5"/>
    </row>
    <row r="310" spans="17:22" x14ac:dyDescent="0.3">
      <c r="Q310" s="5"/>
      <c r="R310" s="5"/>
      <c r="S310" s="5"/>
      <c r="T310" s="5"/>
      <c r="U310" s="92"/>
      <c r="V310" s="5"/>
    </row>
    <row r="311" spans="17:22" x14ac:dyDescent="0.3">
      <c r="Q311" s="5"/>
      <c r="R311" s="5"/>
      <c r="S311" s="5"/>
      <c r="T311" s="5"/>
      <c r="U311" s="92"/>
      <c r="V311" s="5"/>
    </row>
    <row r="312" spans="17:22" x14ac:dyDescent="0.3">
      <c r="Q312" s="5"/>
      <c r="R312" s="5"/>
      <c r="S312" s="5"/>
      <c r="T312" s="5"/>
      <c r="U312" s="92"/>
      <c r="V312" s="5"/>
    </row>
    <row r="313" spans="17:22" x14ac:dyDescent="0.3">
      <c r="Q313" s="5"/>
      <c r="R313" s="5"/>
      <c r="S313" s="5"/>
      <c r="T313" s="5"/>
      <c r="U313" s="92"/>
      <c r="V313" s="5"/>
    </row>
    <row r="314" spans="17:22" x14ac:dyDescent="0.3">
      <c r="Q314" s="5"/>
      <c r="R314" s="5"/>
      <c r="S314" s="5"/>
      <c r="T314" s="5"/>
      <c r="U314" s="92"/>
      <c r="V314" s="5"/>
    </row>
    <row r="315" spans="17:22" x14ac:dyDescent="0.3">
      <c r="Q315" s="5"/>
      <c r="R315" s="5"/>
      <c r="S315" s="5"/>
      <c r="T315" s="5"/>
      <c r="U315" s="92"/>
      <c r="V315" s="5"/>
    </row>
    <row r="316" spans="17:22" x14ac:dyDescent="0.3">
      <c r="Q316" s="5"/>
      <c r="R316" s="5"/>
      <c r="S316" s="5"/>
      <c r="T316" s="5"/>
      <c r="U316" s="92"/>
      <c r="V316" s="5"/>
    </row>
    <row r="317" spans="17:22" x14ac:dyDescent="0.3">
      <c r="Q317" s="5"/>
      <c r="R317" s="5"/>
      <c r="S317" s="5"/>
      <c r="T317" s="5"/>
      <c r="U317" s="92"/>
      <c r="V317" s="5"/>
    </row>
    <row r="318" spans="17:22" x14ac:dyDescent="0.3">
      <c r="Q318" s="5"/>
      <c r="R318" s="5"/>
      <c r="S318" s="5"/>
      <c r="T318" s="5"/>
      <c r="U318" s="92"/>
      <c r="V318" s="5"/>
    </row>
    <row r="319" spans="17:22" x14ac:dyDescent="0.3">
      <c r="Q319" s="5"/>
      <c r="R319" s="5"/>
      <c r="S319" s="5"/>
      <c r="T319" s="5"/>
      <c r="U319" s="92"/>
      <c r="V319" s="5"/>
    </row>
    <row r="320" spans="17:22" x14ac:dyDescent="0.3">
      <c r="Q320" s="5"/>
      <c r="R320" s="5"/>
      <c r="S320" s="5"/>
      <c r="T320" s="5"/>
      <c r="U320" s="92"/>
      <c r="V320" s="5"/>
    </row>
    <row r="321" spans="17:22" x14ac:dyDescent="0.3">
      <c r="Q321" s="5"/>
      <c r="R321" s="5"/>
      <c r="S321" s="5"/>
      <c r="T321" s="5"/>
      <c r="U321" s="92"/>
      <c r="V321" s="5"/>
    </row>
    <row r="322" spans="17:22" x14ac:dyDescent="0.3">
      <c r="Q322" s="5"/>
      <c r="R322" s="5"/>
      <c r="S322" s="5"/>
      <c r="T322" s="5"/>
      <c r="U322" s="92"/>
      <c r="V322" s="5"/>
    </row>
    <row r="323" spans="17:22" x14ac:dyDescent="0.3">
      <c r="Q323" s="5"/>
      <c r="R323" s="5"/>
      <c r="S323" s="5"/>
      <c r="T323" s="5"/>
      <c r="U323" s="92"/>
      <c r="V323" s="5"/>
    </row>
    <row r="324" spans="17:22" x14ac:dyDescent="0.3">
      <c r="Q324" s="5"/>
      <c r="R324" s="5"/>
      <c r="S324" s="5"/>
      <c r="T324" s="5"/>
      <c r="U324" s="92"/>
      <c r="V324" s="5"/>
    </row>
    <row r="325" spans="17:22" x14ac:dyDescent="0.3">
      <c r="Q325" s="5"/>
      <c r="R325" s="5"/>
      <c r="S325" s="5"/>
      <c r="T325" s="5"/>
      <c r="U325" s="92"/>
      <c r="V325" s="5"/>
    </row>
    <row r="326" spans="17:22" x14ac:dyDescent="0.3">
      <c r="Q326" s="5"/>
      <c r="R326" s="5"/>
      <c r="S326" s="5"/>
      <c r="T326" s="5"/>
      <c r="U326" s="92"/>
      <c r="V326" s="5"/>
    </row>
    <row r="327" spans="17:22" x14ac:dyDescent="0.3">
      <c r="Q327" s="5"/>
      <c r="R327" s="5"/>
      <c r="S327" s="5"/>
      <c r="T327" s="5"/>
      <c r="U327" s="92"/>
      <c r="V327" s="5"/>
    </row>
    <row r="328" spans="17:22" x14ac:dyDescent="0.3">
      <c r="Q328" s="5"/>
      <c r="R328" s="5"/>
      <c r="S328" s="5"/>
      <c r="T328" s="5"/>
      <c r="U328" s="92"/>
      <c r="V328" s="5"/>
    </row>
    <row r="329" spans="17:22" x14ac:dyDescent="0.3">
      <c r="Q329" s="5"/>
      <c r="R329" s="5"/>
      <c r="S329" s="5"/>
      <c r="T329" s="5"/>
      <c r="U329" s="92"/>
      <c r="V329" s="5"/>
    </row>
    <row r="330" spans="17:22" x14ac:dyDescent="0.3">
      <c r="Q330" s="5"/>
      <c r="R330" s="5"/>
      <c r="S330" s="5"/>
      <c r="T330" s="5"/>
      <c r="U330" s="92"/>
      <c r="V330" s="5"/>
    </row>
    <row r="331" spans="17:22" x14ac:dyDescent="0.3">
      <c r="Q331" s="5"/>
      <c r="R331" s="5"/>
      <c r="S331" s="5"/>
      <c r="T331" s="5"/>
      <c r="U331" s="92"/>
      <c r="V331" s="5"/>
    </row>
    <row r="332" spans="17:22" x14ac:dyDescent="0.3">
      <c r="Q332" s="5"/>
      <c r="R332" s="5"/>
      <c r="S332" s="5"/>
      <c r="T332" s="5"/>
      <c r="U332" s="92"/>
      <c r="V332" s="5"/>
    </row>
    <row r="333" spans="17:22" x14ac:dyDescent="0.3">
      <c r="Q333" s="5"/>
      <c r="R333" s="5"/>
      <c r="S333" s="5"/>
      <c r="T333" s="5"/>
      <c r="U333" s="92"/>
      <c r="V333" s="5"/>
    </row>
    <row r="334" spans="17:22" x14ac:dyDescent="0.3">
      <c r="Q334" s="5"/>
      <c r="R334" s="5"/>
      <c r="S334" s="5"/>
      <c r="T334" s="5"/>
      <c r="U334" s="92"/>
      <c r="V334" s="5"/>
    </row>
    <row r="335" spans="17:22" x14ac:dyDescent="0.3">
      <c r="Q335" s="5"/>
      <c r="R335" s="5"/>
      <c r="S335" s="5"/>
      <c r="T335" s="5"/>
      <c r="U335" s="92"/>
      <c r="V335" s="5"/>
    </row>
    <row r="336" spans="17:22" x14ac:dyDescent="0.3">
      <c r="Q336" s="5"/>
      <c r="R336" s="5"/>
      <c r="S336" s="5"/>
      <c r="T336" s="5"/>
      <c r="U336" s="92"/>
      <c r="V336" s="5"/>
    </row>
    <row r="337" spans="17:22" x14ac:dyDescent="0.3">
      <c r="Q337" s="5"/>
      <c r="R337" s="5"/>
      <c r="S337" s="5"/>
      <c r="T337" s="5"/>
      <c r="U337" s="92"/>
      <c r="V337" s="5"/>
    </row>
    <row r="338" spans="17:22" x14ac:dyDescent="0.3">
      <c r="Q338" s="5"/>
      <c r="R338" s="5"/>
      <c r="S338" s="5"/>
      <c r="T338" s="5"/>
      <c r="U338" s="92"/>
      <c r="V338" s="5"/>
    </row>
    <row r="339" spans="17:22" x14ac:dyDescent="0.3">
      <c r="Q339" s="5"/>
      <c r="R339" s="5"/>
      <c r="S339" s="5"/>
      <c r="T339" s="5"/>
      <c r="U339" s="92"/>
      <c r="V339" s="5"/>
    </row>
    <row r="340" spans="17:22" x14ac:dyDescent="0.3">
      <c r="Q340" s="5"/>
      <c r="R340" s="5"/>
      <c r="S340" s="5"/>
      <c r="T340" s="5"/>
      <c r="U340" s="92"/>
      <c r="V340" s="5"/>
    </row>
    <row r="341" spans="17:22" x14ac:dyDescent="0.3">
      <c r="Q341" s="5"/>
      <c r="R341" s="5"/>
      <c r="S341" s="5"/>
      <c r="T341" s="5"/>
      <c r="U341" s="92"/>
      <c r="V341" s="5"/>
    </row>
    <row r="342" spans="17:22" x14ac:dyDescent="0.3">
      <c r="Q342" s="5"/>
      <c r="R342" s="5"/>
      <c r="S342" s="5"/>
      <c r="T342" s="5"/>
      <c r="U342" s="92"/>
      <c r="V342" s="5"/>
    </row>
    <row r="343" spans="17:22" x14ac:dyDescent="0.3">
      <c r="Q343" s="5"/>
      <c r="R343" s="5"/>
      <c r="S343" s="5"/>
      <c r="T343" s="5"/>
      <c r="U343" s="92"/>
      <c r="V343" s="5"/>
    </row>
    <row r="344" spans="17:22" x14ac:dyDescent="0.3">
      <c r="Q344" s="5"/>
      <c r="R344" s="5"/>
      <c r="S344" s="5"/>
      <c r="T344" s="5"/>
      <c r="U344" s="92"/>
      <c r="V344" s="5"/>
    </row>
    <row r="345" spans="17:22" x14ac:dyDescent="0.3">
      <c r="Q345" s="5"/>
      <c r="R345" s="5"/>
      <c r="S345" s="5"/>
      <c r="T345" s="5"/>
      <c r="U345" s="92"/>
      <c r="V345" s="5"/>
    </row>
    <row r="346" spans="17:22" x14ac:dyDescent="0.3">
      <c r="Q346" s="5"/>
      <c r="R346" s="5"/>
      <c r="S346" s="5"/>
      <c r="T346" s="5"/>
      <c r="U346" s="92"/>
      <c r="V346" s="5"/>
    </row>
    <row r="347" spans="17:22" x14ac:dyDescent="0.3">
      <c r="Q347" s="5"/>
      <c r="R347" s="5"/>
      <c r="S347" s="5"/>
      <c r="T347" s="5"/>
      <c r="U347" s="92"/>
      <c r="V347" s="5"/>
    </row>
    <row r="348" spans="17:22" x14ac:dyDescent="0.3">
      <c r="Q348" s="5"/>
      <c r="R348" s="5"/>
      <c r="S348" s="5"/>
      <c r="T348" s="5"/>
      <c r="U348" s="92"/>
      <c r="V348" s="5"/>
    </row>
    <row r="349" spans="17:22" x14ac:dyDescent="0.3">
      <c r="Q349" s="5"/>
      <c r="R349" s="5"/>
      <c r="S349" s="5"/>
      <c r="T349" s="5"/>
      <c r="U349" s="92"/>
      <c r="V349" s="5"/>
    </row>
    <row r="350" spans="17:22" x14ac:dyDescent="0.3">
      <c r="Q350" s="5"/>
      <c r="R350" s="5"/>
      <c r="S350" s="5"/>
      <c r="T350" s="5"/>
      <c r="U350" s="92"/>
      <c r="V350" s="5"/>
    </row>
    <row r="351" spans="17:22" x14ac:dyDescent="0.3">
      <c r="Q351" s="5"/>
      <c r="R351" s="5"/>
      <c r="S351" s="5"/>
      <c r="T351" s="5"/>
      <c r="U351" s="92"/>
      <c r="V351" s="5"/>
    </row>
    <row r="352" spans="17:22" x14ac:dyDescent="0.3">
      <c r="Q352" s="5"/>
      <c r="R352" s="5"/>
      <c r="S352" s="5"/>
      <c r="T352" s="5"/>
      <c r="U352" s="92"/>
      <c r="V352" s="5"/>
    </row>
    <row r="353" spans="17:22" x14ac:dyDescent="0.3">
      <c r="Q353" s="5"/>
      <c r="R353" s="5"/>
      <c r="S353" s="5"/>
      <c r="T353" s="5"/>
      <c r="U353" s="92"/>
      <c r="V353" s="5"/>
    </row>
    <row r="354" spans="17:22" x14ac:dyDescent="0.3">
      <c r="Q354" s="5"/>
      <c r="R354" s="5"/>
      <c r="S354" s="5"/>
      <c r="T354" s="5"/>
      <c r="U354" s="92"/>
      <c r="V354" s="5"/>
    </row>
    <row r="355" spans="17:22" x14ac:dyDescent="0.3">
      <c r="Q355" s="5"/>
      <c r="R355" s="5"/>
      <c r="S355" s="5"/>
      <c r="T355" s="5"/>
      <c r="U355" s="92"/>
      <c r="V355" s="5"/>
    </row>
    <row r="356" spans="17:22" x14ac:dyDescent="0.3">
      <c r="Q356" s="5"/>
      <c r="R356" s="5"/>
      <c r="S356" s="5"/>
      <c r="T356" s="5"/>
      <c r="U356" s="92"/>
      <c r="V356" s="5"/>
    </row>
    <row r="357" spans="17:22" x14ac:dyDescent="0.3">
      <c r="Q357" s="5"/>
      <c r="R357" s="5"/>
      <c r="S357" s="5"/>
      <c r="T357" s="5"/>
      <c r="U357" s="92"/>
      <c r="V357" s="5"/>
    </row>
    <row r="358" spans="17:22" x14ac:dyDescent="0.3">
      <c r="Q358" s="5"/>
      <c r="R358" s="5"/>
      <c r="S358" s="5"/>
      <c r="T358" s="5"/>
      <c r="U358" s="92"/>
      <c r="V358" s="5"/>
    </row>
    <row r="359" spans="17:22" x14ac:dyDescent="0.3">
      <c r="Q359" s="5"/>
      <c r="R359" s="5"/>
      <c r="S359" s="5"/>
      <c r="T359" s="5"/>
      <c r="U359" s="92"/>
      <c r="V359" s="5"/>
    </row>
    <row r="360" spans="17:22" x14ac:dyDescent="0.3">
      <c r="Q360" s="5"/>
      <c r="R360" s="5"/>
      <c r="S360" s="5"/>
      <c r="T360" s="5"/>
      <c r="U360" s="92"/>
      <c r="V360" s="5"/>
    </row>
    <row r="361" spans="17:22" x14ac:dyDescent="0.3">
      <c r="Q361" s="5"/>
      <c r="R361" s="5"/>
      <c r="S361" s="5"/>
      <c r="T361" s="5"/>
      <c r="U361" s="92"/>
      <c r="V361" s="5"/>
    </row>
    <row r="362" spans="17:22" x14ac:dyDescent="0.3">
      <c r="Q362" s="5"/>
      <c r="R362" s="5"/>
      <c r="S362" s="5"/>
      <c r="T362" s="5"/>
      <c r="U362" s="92"/>
      <c r="V362" s="5"/>
    </row>
    <row r="363" spans="17:22" x14ac:dyDescent="0.3">
      <c r="Q363" s="5"/>
      <c r="R363" s="5"/>
      <c r="S363" s="5"/>
      <c r="T363" s="5"/>
      <c r="U363" s="92"/>
      <c r="V363" s="5"/>
    </row>
    <row r="364" spans="17:22" x14ac:dyDescent="0.3">
      <c r="Q364" s="5"/>
      <c r="R364" s="5"/>
      <c r="S364" s="5"/>
      <c r="T364" s="5"/>
      <c r="U364" s="92"/>
      <c r="V364" s="5"/>
    </row>
    <row r="365" spans="17:22" x14ac:dyDescent="0.3">
      <c r="Q365" s="5"/>
      <c r="R365" s="5"/>
      <c r="S365" s="5"/>
      <c r="T365" s="5"/>
      <c r="U365" s="92"/>
      <c r="V365" s="5"/>
    </row>
    <row r="366" spans="17:22" x14ac:dyDescent="0.3">
      <c r="Q366" s="5"/>
      <c r="R366" s="5"/>
      <c r="S366" s="5"/>
      <c r="T366" s="5"/>
      <c r="U366" s="92"/>
      <c r="V366" s="5"/>
    </row>
    <row r="367" spans="17:22" x14ac:dyDescent="0.3">
      <c r="Q367" s="5"/>
      <c r="R367" s="5"/>
      <c r="S367" s="5"/>
      <c r="T367" s="5"/>
      <c r="U367" s="92"/>
      <c r="V367" s="5"/>
    </row>
    <row r="368" spans="17:22" x14ac:dyDescent="0.3">
      <c r="Q368" s="5"/>
      <c r="R368" s="5"/>
      <c r="S368" s="5"/>
      <c r="T368" s="5"/>
      <c r="U368" s="92"/>
      <c r="V368" s="5"/>
    </row>
    <row r="369" spans="17:22" x14ac:dyDescent="0.3">
      <c r="Q369" s="5"/>
      <c r="R369" s="5"/>
      <c r="S369" s="5"/>
      <c r="T369" s="5"/>
      <c r="U369" s="92"/>
      <c r="V369" s="5"/>
    </row>
    <row r="370" spans="17:22" x14ac:dyDescent="0.3">
      <c r="Q370" s="5"/>
      <c r="R370" s="5"/>
      <c r="S370" s="5"/>
      <c r="T370" s="5"/>
      <c r="U370" s="92"/>
      <c r="V370" s="5"/>
    </row>
    <row r="371" spans="17:22" x14ac:dyDescent="0.3">
      <c r="Q371" s="5"/>
      <c r="R371" s="5"/>
      <c r="S371" s="5"/>
      <c r="T371" s="5"/>
      <c r="U371" s="92"/>
      <c r="V371" s="5"/>
    </row>
    <row r="372" spans="17:22" x14ac:dyDescent="0.3">
      <c r="Q372" s="5"/>
      <c r="R372" s="5"/>
      <c r="S372" s="5"/>
      <c r="T372" s="5"/>
      <c r="U372" s="92"/>
      <c r="V372" s="5"/>
    </row>
    <row r="373" spans="17:22" x14ac:dyDescent="0.3">
      <c r="Q373" s="5"/>
      <c r="R373" s="5"/>
      <c r="S373" s="5"/>
      <c r="T373" s="5"/>
      <c r="U373" s="92"/>
      <c r="V373" s="5"/>
    </row>
    <row r="374" spans="17:22" x14ac:dyDescent="0.3">
      <c r="Q374" s="5"/>
      <c r="R374" s="5"/>
      <c r="S374" s="5"/>
      <c r="T374" s="5"/>
      <c r="U374" s="92"/>
      <c r="V374" s="5"/>
    </row>
    <row r="375" spans="17:22" x14ac:dyDescent="0.3">
      <c r="Q375" s="5"/>
      <c r="R375" s="5"/>
      <c r="S375" s="5"/>
      <c r="T375" s="5"/>
      <c r="U375" s="92"/>
      <c r="V375" s="5"/>
    </row>
    <row r="376" spans="17:22" x14ac:dyDescent="0.3">
      <c r="Q376" s="5"/>
      <c r="R376" s="5"/>
      <c r="S376" s="5"/>
      <c r="T376" s="5"/>
      <c r="U376" s="92"/>
      <c r="V376" s="5"/>
    </row>
    <row r="377" spans="17:22" x14ac:dyDescent="0.3">
      <c r="Q377" s="5"/>
      <c r="R377" s="5"/>
      <c r="S377" s="5"/>
      <c r="T377" s="5"/>
      <c r="U377" s="92"/>
      <c r="V377" s="5"/>
    </row>
    <row r="378" spans="17:22" x14ac:dyDescent="0.3">
      <c r="Q378" s="5"/>
      <c r="R378" s="5"/>
      <c r="S378" s="5"/>
      <c r="T378" s="5"/>
      <c r="U378" s="92"/>
      <c r="V378" s="5"/>
    </row>
    <row r="379" spans="17:22" x14ac:dyDescent="0.3">
      <c r="Q379" s="5"/>
      <c r="R379" s="5"/>
      <c r="S379" s="5"/>
      <c r="T379" s="5"/>
      <c r="U379" s="92"/>
      <c r="V379" s="5"/>
    </row>
    <row r="380" spans="17:22" x14ac:dyDescent="0.3">
      <c r="Q380" s="5"/>
      <c r="R380" s="5"/>
      <c r="S380" s="5"/>
      <c r="T380" s="5"/>
      <c r="U380" s="92"/>
      <c r="V380" s="5"/>
    </row>
    <row r="381" spans="17:22" x14ac:dyDescent="0.3">
      <c r="Q381" s="5"/>
      <c r="R381" s="5"/>
      <c r="S381" s="5"/>
      <c r="T381" s="5"/>
      <c r="U381" s="92"/>
      <c r="V381" s="5"/>
    </row>
    <row r="382" spans="17:22" x14ac:dyDescent="0.3">
      <c r="Q382" s="5"/>
      <c r="R382" s="5"/>
      <c r="S382" s="5"/>
      <c r="T382" s="5"/>
      <c r="U382" s="92"/>
      <c r="V382" s="5"/>
    </row>
    <row r="383" spans="17:22" x14ac:dyDescent="0.3">
      <c r="Q383" s="5"/>
      <c r="R383" s="5"/>
      <c r="S383" s="5"/>
      <c r="T383" s="5"/>
      <c r="U383" s="92"/>
      <c r="V383" s="5"/>
    </row>
    <row r="384" spans="17:22" x14ac:dyDescent="0.3">
      <c r="Q384" s="5"/>
      <c r="R384" s="5"/>
      <c r="S384" s="5"/>
      <c r="T384" s="5"/>
      <c r="U384" s="92"/>
      <c r="V384" s="5"/>
    </row>
    <row r="385" spans="17:22" x14ac:dyDescent="0.3">
      <c r="Q385" s="5"/>
      <c r="R385" s="5"/>
      <c r="S385" s="5"/>
      <c r="T385" s="5"/>
      <c r="U385" s="92"/>
      <c r="V385" s="5"/>
    </row>
    <row r="386" spans="17:22" x14ac:dyDescent="0.3">
      <c r="Q386" s="5"/>
      <c r="R386" s="5"/>
      <c r="S386" s="5"/>
      <c r="T386" s="5"/>
      <c r="U386" s="92"/>
      <c r="V386" s="5"/>
    </row>
    <row r="387" spans="17:22" x14ac:dyDescent="0.3">
      <c r="Q387" s="5"/>
      <c r="R387" s="5"/>
      <c r="S387" s="5"/>
      <c r="T387" s="5"/>
      <c r="U387" s="92"/>
      <c r="V387" s="5"/>
    </row>
    <row r="388" spans="17:22" x14ac:dyDescent="0.3">
      <c r="Q388" s="5"/>
      <c r="R388" s="5"/>
      <c r="S388" s="5"/>
      <c r="T388" s="5"/>
      <c r="U388" s="92"/>
      <c r="V388" s="5"/>
    </row>
    <row r="389" spans="17:22" x14ac:dyDescent="0.3">
      <c r="Q389" s="5"/>
      <c r="R389" s="5"/>
      <c r="S389" s="5"/>
      <c r="T389" s="5"/>
      <c r="U389" s="92"/>
      <c r="V389" s="5"/>
    </row>
    <row r="390" spans="17:22" x14ac:dyDescent="0.3">
      <c r="Q390" s="5"/>
      <c r="R390" s="5"/>
      <c r="S390" s="5"/>
      <c r="T390" s="5"/>
      <c r="U390" s="92"/>
      <c r="V390" s="5"/>
    </row>
    <row r="391" spans="17:22" x14ac:dyDescent="0.3">
      <c r="Q391" s="5"/>
      <c r="R391" s="5"/>
      <c r="S391" s="5"/>
      <c r="T391" s="5"/>
      <c r="U391" s="92"/>
      <c r="V391" s="5"/>
    </row>
    <row r="392" spans="17:22" x14ac:dyDescent="0.3">
      <c r="Q392" s="5"/>
      <c r="R392" s="5"/>
      <c r="S392" s="5"/>
      <c r="T392" s="5"/>
      <c r="U392" s="92"/>
      <c r="V392" s="5"/>
    </row>
    <row r="393" spans="17:22" x14ac:dyDescent="0.3">
      <c r="Q393" s="5"/>
      <c r="R393" s="5"/>
      <c r="S393" s="5"/>
      <c r="T393" s="5"/>
      <c r="U393" s="92"/>
      <c r="V393" s="5"/>
    </row>
    <row r="394" spans="17:22" x14ac:dyDescent="0.3">
      <c r="Q394" s="5"/>
      <c r="R394" s="5"/>
      <c r="S394" s="5"/>
      <c r="T394" s="5"/>
      <c r="U394" s="92"/>
      <c r="V394" s="5"/>
    </row>
    <row r="395" spans="17:22" x14ac:dyDescent="0.3">
      <c r="Q395" s="5"/>
      <c r="R395" s="5"/>
      <c r="S395" s="5"/>
      <c r="T395" s="5"/>
      <c r="U395" s="92"/>
      <c r="V395" s="5"/>
    </row>
    <row r="396" spans="17:22" x14ac:dyDescent="0.3">
      <c r="Q396" s="5"/>
      <c r="R396" s="5"/>
      <c r="S396" s="5"/>
      <c r="T396" s="5"/>
      <c r="U396" s="92"/>
      <c r="V396" s="5"/>
    </row>
    <row r="397" spans="17:22" x14ac:dyDescent="0.3">
      <c r="Q397" s="5"/>
      <c r="R397" s="5"/>
      <c r="S397" s="5"/>
      <c r="T397" s="5"/>
      <c r="U397" s="92"/>
      <c r="V397" s="5"/>
    </row>
    <row r="398" spans="17:22" x14ac:dyDescent="0.3">
      <c r="Q398" s="5"/>
      <c r="R398" s="5"/>
      <c r="S398" s="5"/>
      <c r="T398" s="5"/>
      <c r="U398" s="92"/>
      <c r="V398" s="5"/>
    </row>
    <row r="399" spans="17:22" x14ac:dyDescent="0.3">
      <c r="Q399" s="5"/>
      <c r="R399" s="5"/>
      <c r="S399" s="5"/>
      <c r="T399" s="5"/>
      <c r="U399" s="92"/>
      <c r="V399" s="5"/>
    </row>
    <row r="400" spans="17:22" x14ac:dyDescent="0.3">
      <c r="Q400" s="5"/>
      <c r="R400" s="5"/>
      <c r="S400" s="5"/>
      <c r="T400" s="5"/>
      <c r="U400" s="92"/>
      <c r="V400" s="5"/>
    </row>
    <row r="401" spans="17:22" x14ac:dyDescent="0.3">
      <c r="Q401" s="5"/>
      <c r="R401" s="5"/>
      <c r="S401" s="5"/>
      <c r="T401" s="5"/>
      <c r="U401" s="92"/>
      <c r="V401" s="5"/>
    </row>
    <row r="402" spans="17:22" x14ac:dyDescent="0.3">
      <c r="Q402" s="5"/>
      <c r="R402" s="5"/>
      <c r="S402" s="5"/>
      <c r="T402" s="5"/>
      <c r="U402" s="92"/>
      <c r="V402" s="5"/>
    </row>
    <row r="403" spans="17:22" x14ac:dyDescent="0.3">
      <c r="Q403" s="5"/>
      <c r="R403" s="5"/>
      <c r="S403" s="5"/>
      <c r="T403" s="5"/>
      <c r="U403" s="92"/>
      <c r="V403" s="5"/>
    </row>
    <row r="404" spans="17:22" x14ac:dyDescent="0.3">
      <c r="Q404" s="5"/>
      <c r="R404" s="5"/>
      <c r="S404" s="5"/>
      <c r="T404" s="5"/>
      <c r="U404" s="92"/>
      <c r="V404" s="5"/>
    </row>
    <row r="405" spans="17:22" x14ac:dyDescent="0.3">
      <c r="Q405" s="5"/>
      <c r="R405" s="5"/>
      <c r="S405" s="5"/>
      <c r="T405" s="5"/>
      <c r="U405" s="92"/>
      <c r="V405" s="5"/>
    </row>
    <row r="406" spans="17:22" x14ac:dyDescent="0.3">
      <c r="Q406" s="5"/>
      <c r="R406" s="5"/>
      <c r="S406" s="5"/>
      <c r="T406" s="5"/>
      <c r="U406" s="92"/>
      <c r="V406" s="5"/>
    </row>
    <row r="407" spans="17:22" x14ac:dyDescent="0.3">
      <c r="Q407" s="5"/>
      <c r="R407" s="5"/>
      <c r="S407" s="5"/>
      <c r="T407" s="5"/>
      <c r="U407" s="92"/>
      <c r="V407" s="5"/>
    </row>
    <row r="408" spans="17:22" x14ac:dyDescent="0.3">
      <c r="Q408" s="5"/>
      <c r="R408" s="5"/>
      <c r="S408" s="5"/>
      <c r="T408" s="5"/>
      <c r="U408" s="92"/>
      <c r="V408" s="5"/>
    </row>
    <row r="409" spans="17:22" x14ac:dyDescent="0.3">
      <c r="Q409" s="5"/>
      <c r="R409" s="5"/>
      <c r="S409" s="5"/>
      <c r="T409" s="5"/>
      <c r="U409" s="92"/>
      <c r="V409" s="5"/>
    </row>
    <row r="410" spans="17:22" x14ac:dyDescent="0.3">
      <c r="Q410" s="5"/>
      <c r="R410" s="5"/>
      <c r="S410" s="5"/>
      <c r="T410" s="5"/>
      <c r="U410" s="92"/>
      <c r="V410" s="5"/>
    </row>
    <row r="411" spans="17:22" x14ac:dyDescent="0.3">
      <c r="Q411" s="5"/>
      <c r="R411" s="5"/>
      <c r="S411" s="5"/>
      <c r="T411" s="5"/>
      <c r="U411" s="92"/>
      <c r="V411" s="5"/>
    </row>
    <row r="412" spans="17:22" x14ac:dyDescent="0.3">
      <c r="Q412" s="5"/>
      <c r="R412" s="5"/>
      <c r="S412" s="5"/>
      <c r="T412" s="5"/>
      <c r="U412" s="92"/>
      <c r="V412" s="5"/>
    </row>
    <row r="413" spans="17:22" x14ac:dyDescent="0.3">
      <c r="Q413" s="5"/>
      <c r="R413" s="5"/>
      <c r="S413" s="5"/>
      <c r="T413" s="5"/>
      <c r="U413" s="92"/>
      <c r="V413" s="5"/>
    </row>
    <row r="414" spans="17:22" x14ac:dyDescent="0.3">
      <c r="Q414" s="5"/>
      <c r="R414" s="5"/>
      <c r="S414" s="5"/>
      <c r="T414" s="5"/>
      <c r="U414" s="92"/>
      <c r="V414" s="5"/>
    </row>
    <row r="415" spans="17:22" x14ac:dyDescent="0.3">
      <c r="Q415" s="5"/>
      <c r="R415" s="5"/>
      <c r="S415" s="5"/>
      <c r="T415" s="5"/>
      <c r="U415" s="92"/>
      <c r="V415" s="5"/>
    </row>
    <row r="416" spans="17:22" x14ac:dyDescent="0.3">
      <c r="Q416" s="5"/>
      <c r="R416" s="5"/>
      <c r="S416" s="5"/>
      <c r="T416" s="5"/>
      <c r="U416" s="92"/>
      <c r="V416" s="5"/>
    </row>
    <row r="417" spans="17:22" x14ac:dyDescent="0.3">
      <c r="Q417" s="5"/>
      <c r="R417" s="5"/>
      <c r="S417" s="5"/>
      <c r="T417" s="5"/>
      <c r="U417" s="92"/>
      <c r="V417" s="5"/>
    </row>
    <row r="418" spans="17:22" x14ac:dyDescent="0.3">
      <c r="Q418" s="5"/>
      <c r="R418" s="5"/>
      <c r="S418" s="5"/>
      <c r="T418" s="5"/>
      <c r="U418" s="92"/>
      <c r="V418" s="5"/>
    </row>
    <row r="419" spans="17:22" x14ac:dyDescent="0.3">
      <c r="Q419" s="5"/>
      <c r="R419" s="5"/>
      <c r="S419" s="5"/>
      <c r="T419" s="5"/>
      <c r="U419" s="92"/>
      <c r="V419" s="5"/>
    </row>
    <row r="420" spans="17:22" x14ac:dyDescent="0.3">
      <c r="Q420" s="5"/>
      <c r="R420" s="5"/>
      <c r="S420" s="5"/>
      <c r="T420" s="5"/>
      <c r="U420" s="92"/>
      <c r="V420" s="5"/>
    </row>
    <row r="421" spans="17:22" x14ac:dyDescent="0.3">
      <c r="Q421" s="5"/>
      <c r="R421" s="5"/>
      <c r="S421" s="5"/>
      <c r="T421" s="5"/>
      <c r="U421" s="92"/>
      <c r="V421" s="5"/>
    </row>
    <row r="422" spans="17:22" x14ac:dyDescent="0.3">
      <c r="Q422" s="5"/>
      <c r="R422" s="5"/>
      <c r="S422" s="5"/>
      <c r="T422" s="5"/>
      <c r="U422" s="92"/>
      <c r="V422" s="5"/>
    </row>
    <row r="423" spans="17:22" x14ac:dyDescent="0.3">
      <c r="Q423" s="5"/>
      <c r="R423" s="5"/>
      <c r="S423" s="5"/>
      <c r="T423" s="5"/>
      <c r="U423" s="92"/>
      <c r="V423" s="5"/>
    </row>
    <row r="424" spans="17:22" x14ac:dyDescent="0.3">
      <c r="Q424" s="5"/>
      <c r="R424" s="5"/>
      <c r="S424" s="5"/>
      <c r="T424" s="5"/>
      <c r="U424" s="92"/>
      <c r="V424" s="5"/>
    </row>
    <row r="425" spans="17:22" x14ac:dyDescent="0.3">
      <c r="Q425" s="5"/>
      <c r="R425" s="5"/>
      <c r="S425" s="5"/>
      <c r="T425" s="5"/>
      <c r="U425" s="92"/>
      <c r="V425" s="5"/>
    </row>
    <row r="426" spans="17:22" x14ac:dyDescent="0.3">
      <c r="Q426" s="5"/>
      <c r="R426" s="5"/>
      <c r="S426" s="5"/>
      <c r="T426" s="5"/>
      <c r="U426" s="92"/>
      <c r="V426" s="5"/>
    </row>
    <row r="427" spans="17:22" x14ac:dyDescent="0.3">
      <c r="Q427" s="5"/>
      <c r="R427" s="5"/>
      <c r="S427" s="5"/>
      <c r="T427" s="5"/>
      <c r="U427" s="92"/>
      <c r="V427" s="5"/>
    </row>
    <row r="428" spans="17:22" x14ac:dyDescent="0.3">
      <c r="Q428" s="5"/>
      <c r="R428" s="5"/>
      <c r="S428" s="5"/>
      <c r="T428" s="5"/>
      <c r="U428" s="92"/>
      <c r="V428" s="5"/>
    </row>
    <row r="429" spans="17:22" x14ac:dyDescent="0.3">
      <c r="Q429" s="5"/>
      <c r="R429" s="5"/>
      <c r="S429" s="5"/>
      <c r="T429" s="5"/>
      <c r="U429" s="92"/>
      <c r="V429" s="5"/>
    </row>
    <row r="430" spans="17:22" x14ac:dyDescent="0.3">
      <c r="Q430" s="5"/>
      <c r="R430" s="5"/>
      <c r="S430" s="5"/>
      <c r="T430" s="5"/>
      <c r="U430" s="92"/>
      <c r="V430" s="5"/>
    </row>
    <row r="431" spans="17:22" x14ac:dyDescent="0.3">
      <c r="Q431" s="5"/>
      <c r="R431" s="5"/>
      <c r="S431" s="5"/>
      <c r="T431" s="5"/>
      <c r="U431" s="92"/>
      <c r="V431" s="5"/>
    </row>
    <row r="432" spans="17:22" x14ac:dyDescent="0.3">
      <c r="Q432" s="5"/>
      <c r="R432" s="5"/>
      <c r="S432" s="5"/>
      <c r="T432" s="5"/>
      <c r="U432" s="92"/>
      <c r="V432" s="5"/>
    </row>
    <row r="433" spans="17:22" x14ac:dyDescent="0.3">
      <c r="Q433" s="5"/>
      <c r="R433" s="5"/>
      <c r="S433" s="5"/>
      <c r="T433" s="5"/>
      <c r="U433" s="92"/>
      <c r="V433" s="5"/>
    </row>
    <row r="434" spans="17:22" x14ac:dyDescent="0.3">
      <c r="Q434" s="5"/>
      <c r="R434" s="5"/>
      <c r="S434" s="5"/>
      <c r="T434" s="5"/>
      <c r="U434" s="92"/>
      <c r="V434" s="5"/>
    </row>
    <row r="435" spans="17:22" x14ac:dyDescent="0.3">
      <c r="Q435" s="5"/>
      <c r="R435" s="5"/>
      <c r="S435" s="5"/>
      <c r="T435" s="5"/>
      <c r="U435" s="92"/>
      <c r="V435" s="5"/>
    </row>
    <row r="436" spans="17:22" x14ac:dyDescent="0.3">
      <c r="Q436" s="5"/>
      <c r="R436" s="5"/>
      <c r="S436" s="5"/>
      <c r="T436" s="5"/>
      <c r="U436" s="92"/>
      <c r="V436" s="5"/>
    </row>
    <row r="437" spans="17:22" x14ac:dyDescent="0.3">
      <c r="Q437" s="5"/>
      <c r="R437" s="5"/>
      <c r="S437" s="5"/>
      <c r="T437" s="5"/>
      <c r="U437" s="92"/>
      <c r="V437" s="5"/>
    </row>
    <row r="438" spans="17:22" x14ac:dyDescent="0.3">
      <c r="Q438" s="5"/>
      <c r="R438" s="5"/>
      <c r="S438" s="5"/>
      <c r="T438" s="5"/>
      <c r="U438" s="92"/>
      <c r="V438" s="5"/>
    </row>
    <row r="439" spans="17:22" x14ac:dyDescent="0.3">
      <c r="Q439" s="5"/>
      <c r="R439" s="5"/>
      <c r="S439" s="5"/>
      <c r="T439" s="5"/>
      <c r="U439" s="92"/>
      <c r="V439" s="5"/>
    </row>
    <row r="440" spans="17:22" x14ac:dyDescent="0.3">
      <c r="Q440" s="5"/>
      <c r="R440" s="5"/>
      <c r="S440" s="5"/>
      <c r="T440" s="5"/>
      <c r="U440" s="92"/>
      <c r="V440" s="5"/>
    </row>
    <row r="441" spans="17:22" x14ac:dyDescent="0.3">
      <c r="Q441" s="5"/>
      <c r="R441" s="5"/>
      <c r="S441" s="5"/>
      <c r="T441" s="5"/>
      <c r="U441" s="92"/>
      <c r="V441" s="5"/>
    </row>
    <row r="442" spans="17:22" x14ac:dyDescent="0.3">
      <c r="Q442" s="5"/>
      <c r="R442" s="5"/>
      <c r="S442" s="5"/>
      <c r="T442" s="5"/>
      <c r="U442" s="92"/>
      <c r="V442" s="5"/>
    </row>
    <row r="443" spans="17:22" x14ac:dyDescent="0.3">
      <c r="Q443" s="5"/>
      <c r="R443" s="5"/>
      <c r="S443" s="5"/>
      <c r="T443" s="5"/>
      <c r="U443" s="92"/>
      <c r="V443" s="5"/>
    </row>
    <row r="444" spans="17:22" x14ac:dyDescent="0.3">
      <c r="Q444" s="5"/>
      <c r="R444" s="5"/>
      <c r="S444" s="5"/>
      <c r="T444" s="5"/>
      <c r="U444" s="92"/>
      <c r="V444" s="5"/>
    </row>
    <row r="445" spans="17:22" x14ac:dyDescent="0.3">
      <c r="Q445" s="5"/>
      <c r="R445" s="5"/>
      <c r="S445" s="5"/>
      <c r="T445" s="5"/>
      <c r="U445" s="92"/>
      <c r="V445" s="5"/>
    </row>
    <row r="446" spans="17:22" x14ac:dyDescent="0.3">
      <c r="Q446" s="5"/>
      <c r="R446" s="5"/>
      <c r="S446" s="5"/>
      <c r="T446" s="5"/>
      <c r="U446" s="92"/>
      <c r="V446" s="5"/>
    </row>
    <row r="447" spans="17:22" x14ac:dyDescent="0.3">
      <c r="Q447" s="5"/>
      <c r="R447" s="5"/>
      <c r="S447" s="5"/>
      <c r="T447" s="5"/>
      <c r="U447" s="92"/>
      <c r="V447" s="5"/>
    </row>
    <row r="448" spans="17:22" x14ac:dyDescent="0.3">
      <c r="Q448" s="5"/>
      <c r="R448" s="5"/>
      <c r="S448" s="5"/>
      <c r="T448" s="5"/>
      <c r="U448" s="92"/>
      <c r="V448" s="5"/>
    </row>
    <row r="449" spans="17:22" x14ac:dyDescent="0.3">
      <c r="Q449" s="5"/>
      <c r="R449" s="5"/>
      <c r="S449" s="5"/>
      <c r="T449" s="5"/>
      <c r="U449" s="92"/>
      <c r="V449" s="5"/>
    </row>
    <row r="450" spans="17:22" x14ac:dyDescent="0.3">
      <c r="Q450" s="5"/>
      <c r="R450" s="5"/>
      <c r="S450" s="5"/>
      <c r="T450" s="5"/>
      <c r="U450" s="92"/>
      <c r="V450" s="5"/>
    </row>
    <row r="451" spans="17:22" x14ac:dyDescent="0.3">
      <c r="Q451" s="5"/>
      <c r="R451" s="5"/>
      <c r="S451" s="5"/>
      <c r="T451" s="5"/>
      <c r="U451" s="92"/>
      <c r="V451" s="5"/>
    </row>
    <row r="452" spans="17:22" x14ac:dyDescent="0.3">
      <c r="Q452" s="5"/>
      <c r="R452" s="5"/>
      <c r="S452" s="5"/>
      <c r="T452" s="5"/>
      <c r="U452" s="92"/>
      <c r="V452" s="5"/>
    </row>
    <row r="453" spans="17:22" x14ac:dyDescent="0.3">
      <c r="Q453" s="5"/>
      <c r="R453" s="5"/>
      <c r="S453" s="5"/>
      <c r="T453" s="5"/>
      <c r="U453" s="92"/>
      <c r="V453" s="5"/>
    </row>
    <row r="454" spans="17:22" x14ac:dyDescent="0.3">
      <c r="Q454" s="5"/>
      <c r="R454" s="5"/>
      <c r="S454" s="5"/>
      <c r="T454" s="5"/>
      <c r="U454" s="92"/>
      <c r="V454" s="5"/>
    </row>
    <row r="455" spans="17:22" x14ac:dyDescent="0.3">
      <c r="Q455" s="5"/>
      <c r="R455" s="5"/>
      <c r="S455" s="5"/>
      <c r="T455" s="5"/>
      <c r="U455" s="92"/>
      <c r="V455" s="5"/>
    </row>
    <row r="456" spans="17:22" x14ac:dyDescent="0.3">
      <c r="Q456" s="5"/>
      <c r="R456" s="5"/>
      <c r="S456" s="5"/>
      <c r="T456" s="5"/>
      <c r="U456" s="92"/>
      <c r="V456" s="5"/>
    </row>
    <row r="457" spans="17:22" x14ac:dyDescent="0.3">
      <c r="Q457" s="5"/>
      <c r="R457" s="5"/>
      <c r="S457" s="5"/>
      <c r="T457" s="5"/>
      <c r="U457" s="92"/>
      <c r="V457" s="5"/>
    </row>
    <row r="458" spans="17:22" x14ac:dyDescent="0.3">
      <c r="Q458" s="5"/>
      <c r="R458" s="5"/>
      <c r="S458" s="5"/>
      <c r="T458" s="5"/>
      <c r="U458" s="92"/>
      <c r="V458" s="5"/>
    </row>
    <row r="459" spans="17:22" x14ac:dyDescent="0.3">
      <c r="Q459" s="5"/>
      <c r="R459" s="5"/>
      <c r="S459" s="5"/>
      <c r="T459" s="5"/>
      <c r="U459" s="92"/>
      <c r="V459" s="5"/>
    </row>
    <row r="460" spans="17:22" x14ac:dyDescent="0.3">
      <c r="Q460" s="5"/>
      <c r="R460" s="5"/>
      <c r="S460" s="5"/>
      <c r="T460" s="5"/>
      <c r="U460" s="92"/>
      <c r="V460" s="5"/>
    </row>
    <row r="461" spans="17:22" x14ac:dyDescent="0.3">
      <c r="Q461" s="5"/>
      <c r="R461" s="5"/>
      <c r="S461" s="5"/>
      <c r="T461" s="5"/>
      <c r="U461" s="92"/>
      <c r="V461" s="5"/>
    </row>
    <row r="462" spans="17:22" x14ac:dyDescent="0.3">
      <c r="Q462" s="5"/>
      <c r="R462" s="5"/>
      <c r="S462" s="5"/>
      <c r="T462" s="5"/>
      <c r="U462" s="92"/>
      <c r="V462" s="5"/>
    </row>
    <row r="463" spans="17:22" x14ac:dyDescent="0.3">
      <c r="Q463" s="5"/>
      <c r="R463" s="5"/>
      <c r="S463" s="5"/>
      <c r="T463" s="5"/>
      <c r="U463" s="92"/>
      <c r="V463" s="5"/>
    </row>
    <row r="464" spans="17:22" x14ac:dyDescent="0.3">
      <c r="Q464" s="5"/>
      <c r="R464" s="5"/>
      <c r="S464" s="5"/>
      <c r="T464" s="5"/>
      <c r="U464" s="92"/>
      <c r="V464" s="5"/>
    </row>
    <row r="465" spans="17:22" x14ac:dyDescent="0.3">
      <c r="Q465" s="5"/>
      <c r="R465" s="5"/>
      <c r="S465" s="5"/>
      <c r="T465" s="5"/>
      <c r="U465" s="92"/>
      <c r="V465" s="5"/>
    </row>
    <row r="466" spans="17:22" x14ac:dyDescent="0.3">
      <c r="Q466" s="5"/>
      <c r="R466" s="5"/>
      <c r="S466" s="5"/>
      <c r="T466" s="5"/>
      <c r="U466" s="92"/>
      <c r="V466" s="5"/>
    </row>
    <row r="467" spans="17:22" x14ac:dyDescent="0.3">
      <c r="Q467" s="5"/>
      <c r="R467" s="5"/>
      <c r="S467" s="5"/>
      <c r="T467" s="5"/>
      <c r="U467" s="92"/>
      <c r="V467" s="5"/>
    </row>
    <row r="468" spans="17:22" x14ac:dyDescent="0.3">
      <c r="Q468" s="5"/>
      <c r="R468" s="5"/>
      <c r="S468" s="5"/>
      <c r="T468" s="5"/>
      <c r="U468" s="92"/>
      <c r="V468" s="5"/>
    </row>
    <row r="469" spans="17:22" x14ac:dyDescent="0.3">
      <c r="Q469" s="5"/>
      <c r="R469" s="5"/>
      <c r="S469" s="5"/>
      <c r="T469" s="5"/>
      <c r="U469" s="92"/>
      <c r="V469" s="5"/>
    </row>
    <row r="470" spans="17:22" x14ac:dyDescent="0.3">
      <c r="Q470" s="5"/>
      <c r="R470" s="5"/>
      <c r="S470" s="5"/>
      <c r="T470" s="5"/>
      <c r="U470" s="92"/>
      <c r="V470" s="5"/>
    </row>
    <row r="471" spans="17:22" x14ac:dyDescent="0.3">
      <c r="Q471" s="5"/>
      <c r="R471" s="5"/>
      <c r="S471" s="5"/>
      <c r="T471" s="5"/>
      <c r="U471" s="92"/>
      <c r="V471" s="5"/>
    </row>
    <row r="472" spans="17:22" x14ac:dyDescent="0.3">
      <c r="Q472" s="5"/>
      <c r="R472" s="5"/>
      <c r="S472" s="5"/>
      <c r="T472" s="5"/>
      <c r="U472" s="92"/>
      <c r="V472" s="5"/>
    </row>
    <row r="473" spans="17:22" x14ac:dyDescent="0.3">
      <c r="Q473" s="5"/>
      <c r="R473" s="5"/>
      <c r="S473" s="5"/>
      <c r="T473" s="5"/>
      <c r="U473" s="92"/>
      <c r="V473" s="5"/>
    </row>
    <row r="474" spans="17:22" x14ac:dyDescent="0.3">
      <c r="Q474" s="5"/>
      <c r="R474" s="5"/>
      <c r="S474" s="5"/>
      <c r="T474" s="5"/>
      <c r="U474" s="92"/>
      <c r="V474" s="5"/>
    </row>
    <row r="475" spans="17:22" x14ac:dyDescent="0.3">
      <c r="Q475" s="5"/>
      <c r="R475" s="5"/>
      <c r="S475" s="5"/>
      <c r="T475" s="5"/>
      <c r="U475" s="92"/>
      <c r="V475" s="5"/>
    </row>
    <row r="476" spans="17:22" x14ac:dyDescent="0.3">
      <c r="Q476" s="5"/>
      <c r="R476" s="5"/>
      <c r="S476" s="5"/>
      <c r="T476" s="5"/>
      <c r="U476" s="92"/>
      <c r="V476" s="5"/>
    </row>
    <row r="477" spans="17:22" x14ac:dyDescent="0.3">
      <c r="Q477" s="5"/>
      <c r="R477" s="5"/>
      <c r="S477" s="5"/>
      <c r="T477" s="5"/>
      <c r="U477" s="92"/>
      <c r="V477" s="5"/>
    </row>
    <row r="478" spans="17:22" x14ac:dyDescent="0.3">
      <c r="Q478" s="5"/>
      <c r="R478" s="5"/>
      <c r="S478" s="5"/>
      <c r="T478" s="5"/>
      <c r="U478" s="92"/>
      <c r="V478" s="5"/>
    </row>
    <row r="479" spans="17:22" x14ac:dyDescent="0.3">
      <c r="Q479" s="5"/>
      <c r="R479" s="5"/>
      <c r="S479" s="5"/>
      <c r="T479" s="5"/>
      <c r="U479" s="92"/>
      <c r="V479" s="5"/>
    </row>
    <row r="480" spans="17:22" x14ac:dyDescent="0.3">
      <c r="Q480" s="5"/>
      <c r="R480" s="5"/>
      <c r="S480" s="5"/>
      <c r="T480" s="5"/>
      <c r="U480" s="92"/>
      <c r="V480" s="5"/>
    </row>
    <row r="481" spans="17:22" x14ac:dyDescent="0.3">
      <c r="Q481" s="5"/>
      <c r="R481" s="5"/>
      <c r="S481" s="5"/>
      <c r="T481" s="5"/>
      <c r="U481" s="92"/>
      <c r="V481" s="5"/>
    </row>
    <row r="482" spans="17:22" x14ac:dyDescent="0.3">
      <c r="Q482" s="5"/>
      <c r="R482" s="5"/>
      <c r="S482" s="5"/>
      <c r="T482" s="5"/>
      <c r="U482" s="92"/>
      <c r="V482" s="5"/>
    </row>
    <row r="483" spans="17:22" x14ac:dyDescent="0.3">
      <c r="Q483" s="5"/>
      <c r="R483" s="5"/>
      <c r="S483" s="5"/>
      <c r="T483" s="5"/>
      <c r="U483" s="92"/>
      <c r="V483" s="5"/>
    </row>
    <row r="484" spans="17:22" x14ac:dyDescent="0.3">
      <c r="Q484" s="5"/>
      <c r="R484" s="5"/>
      <c r="S484" s="5"/>
      <c r="T484" s="5"/>
      <c r="U484" s="92"/>
      <c r="V484" s="5"/>
    </row>
    <row r="485" spans="17:22" x14ac:dyDescent="0.3">
      <c r="Q485" s="5"/>
      <c r="R485" s="5"/>
      <c r="S485" s="5"/>
      <c r="T485" s="5"/>
      <c r="U485" s="92"/>
      <c r="V485" s="5"/>
    </row>
    <row r="486" spans="17:22" x14ac:dyDescent="0.3">
      <c r="Q486" s="5"/>
      <c r="R486" s="5"/>
      <c r="S486" s="5"/>
      <c r="T486" s="5"/>
      <c r="U486" s="92"/>
      <c r="V486" s="5"/>
    </row>
    <row r="487" spans="17:22" x14ac:dyDescent="0.3">
      <c r="Q487" s="5"/>
      <c r="R487" s="5"/>
      <c r="S487" s="5"/>
      <c r="T487" s="5"/>
      <c r="U487" s="92"/>
      <c r="V487" s="5"/>
    </row>
    <row r="488" spans="17:22" x14ac:dyDescent="0.3">
      <c r="Q488" s="5"/>
      <c r="R488" s="5"/>
      <c r="S488" s="5"/>
      <c r="T488" s="5"/>
      <c r="U488" s="92"/>
      <c r="V488" s="5"/>
    </row>
    <row r="489" spans="17:22" x14ac:dyDescent="0.3">
      <c r="Q489" s="5"/>
      <c r="R489" s="5"/>
      <c r="S489" s="5"/>
      <c r="T489" s="5"/>
      <c r="U489" s="92"/>
      <c r="V489" s="5"/>
    </row>
    <row r="490" spans="17:22" x14ac:dyDescent="0.3">
      <c r="Q490" s="5"/>
      <c r="R490" s="5"/>
      <c r="S490" s="5"/>
      <c r="T490" s="5"/>
      <c r="U490" s="92"/>
      <c r="V490" s="5"/>
    </row>
    <row r="491" spans="17:22" x14ac:dyDescent="0.3">
      <c r="Q491" s="5"/>
      <c r="R491" s="5"/>
      <c r="S491" s="5"/>
      <c r="T491" s="5"/>
      <c r="U491" s="92"/>
      <c r="V491" s="5"/>
    </row>
    <row r="492" spans="17:22" x14ac:dyDescent="0.3">
      <c r="Q492" s="5"/>
      <c r="R492" s="5"/>
      <c r="S492" s="5"/>
      <c r="T492" s="5"/>
      <c r="U492" s="92"/>
      <c r="V492" s="5"/>
    </row>
    <row r="493" spans="17:22" x14ac:dyDescent="0.3">
      <c r="Q493" s="5"/>
      <c r="R493" s="5"/>
      <c r="S493" s="5"/>
      <c r="T493" s="5"/>
      <c r="U493" s="92"/>
      <c r="V493" s="5"/>
    </row>
    <row r="494" spans="17:22" x14ac:dyDescent="0.3">
      <c r="Q494" s="5"/>
      <c r="R494" s="5"/>
      <c r="S494" s="5"/>
      <c r="T494" s="5"/>
      <c r="U494" s="92"/>
      <c r="V494" s="5"/>
    </row>
    <row r="495" spans="17:22" x14ac:dyDescent="0.3">
      <c r="Q495" s="5"/>
      <c r="R495" s="5"/>
      <c r="S495" s="5"/>
      <c r="T495" s="5"/>
      <c r="U495" s="92"/>
      <c r="V495" s="5"/>
    </row>
    <row r="496" spans="17:22" x14ac:dyDescent="0.3">
      <c r="Q496" s="5"/>
      <c r="R496" s="5"/>
      <c r="S496" s="5"/>
      <c r="T496" s="5"/>
      <c r="U496" s="92"/>
      <c r="V496" s="5"/>
    </row>
    <row r="497" spans="17:22" x14ac:dyDescent="0.3">
      <c r="Q497" s="5"/>
      <c r="R497" s="5"/>
      <c r="S497" s="5"/>
      <c r="T497" s="5"/>
      <c r="U497" s="92"/>
      <c r="V497" s="5"/>
    </row>
    <row r="498" spans="17:22" x14ac:dyDescent="0.3">
      <c r="Q498" s="5"/>
      <c r="R498" s="5"/>
      <c r="S498" s="5"/>
      <c r="T498" s="5"/>
      <c r="U498" s="92"/>
      <c r="V498" s="5"/>
    </row>
    <row r="499" spans="17:22" x14ac:dyDescent="0.3">
      <c r="Q499" s="5"/>
      <c r="R499" s="5"/>
      <c r="S499" s="5"/>
      <c r="T499" s="5"/>
      <c r="U499" s="92"/>
      <c r="V499" s="5"/>
    </row>
    <row r="500" spans="17:22" x14ac:dyDescent="0.3">
      <c r="Q500" s="5"/>
      <c r="R500" s="5"/>
      <c r="S500" s="5"/>
      <c r="T500" s="5"/>
      <c r="U500" s="92"/>
      <c r="V500" s="5"/>
    </row>
    <row r="501" spans="17:22" x14ac:dyDescent="0.3">
      <c r="Q501" s="5"/>
      <c r="R501" s="5"/>
      <c r="S501" s="5"/>
      <c r="T501" s="5"/>
      <c r="U501" s="92"/>
      <c r="V501" s="5"/>
    </row>
    <row r="502" spans="17:22" x14ac:dyDescent="0.3">
      <c r="Q502" s="5"/>
      <c r="R502" s="5"/>
      <c r="S502" s="5"/>
      <c r="T502" s="5"/>
      <c r="U502" s="92"/>
      <c r="V502" s="5"/>
    </row>
    <row r="503" spans="17:22" x14ac:dyDescent="0.3">
      <c r="Q503" s="5"/>
      <c r="R503" s="5"/>
      <c r="S503" s="5"/>
      <c r="T503" s="5"/>
      <c r="U503" s="92"/>
      <c r="V503" s="5"/>
    </row>
    <row r="504" spans="17:22" x14ac:dyDescent="0.3">
      <c r="Q504" s="5"/>
      <c r="R504" s="5"/>
      <c r="S504" s="5"/>
      <c r="T504" s="5"/>
      <c r="U504" s="92"/>
      <c r="V504" s="5"/>
    </row>
    <row r="505" spans="17:22" x14ac:dyDescent="0.3">
      <c r="Q505" s="5"/>
      <c r="R505" s="5"/>
      <c r="S505" s="5"/>
      <c r="T505" s="5"/>
      <c r="U505" s="92"/>
      <c r="V505" s="5"/>
    </row>
    <row r="506" spans="17:22" x14ac:dyDescent="0.3">
      <c r="Q506" s="5"/>
      <c r="R506" s="5"/>
      <c r="S506" s="5"/>
      <c r="T506" s="5"/>
      <c r="U506" s="92"/>
      <c r="V506" s="5"/>
    </row>
    <row r="507" spans="17:22" x14ac:dyDescent="0.3">
      <c r="Q507" s="5"/>
      <c r="R507" s="5"/>
      <c r="S507" s="5"/>
      <c r="T507" s="5"/>
      <c r="U507" s="92"/>
      <c r="V507" s="5"/>
    </row>
    <row r="508" spans="17:22" x14ac:dyDescent="0.3">
      <c r="Q508" s="5"/>
      <c r="R508" s="5"/>
      <c r="S508" s="5"/>
      <c r="T508" s="5"/>
      <c r="U508" s="92"/>
      <c r="V508" s="5"/>
    </row>
    <row r="509" spans="17:22" x14ac:dyDescent="0.3">
      <c r="Q509" s="5"/>
      <c r="R509" s="5"/>
      <c r="S509" s="5"/>
      <c r="T509" s="5"/>
      <c r="U509" s="92"/>
      <c r="V509" s="5"/>
    </row>
    <row r="510" spans="17:22" x14ac:dyDescent="0.3">
      <c r="Q510" s="5"/>
      <c r="R510" s="5"/>
      <c r="S510" s="5"/>
      <c r="T510" s="5"/>
      <c r="U510" s="92"/>
      <c r="V510" s="5"/>
    </row>
    <row r="511" spans="17:22" x14ac:dyDescent="0.3">
      <c r="Q511" s="5"/>
      <c r="R511" s="5"/>
      <c r="S511" s="5"/>
      <c r="T511" s="5"/>
      <c r="U511" s="92"/>
      <c r="V511" s="5"/>
    </row>
    <row r="512" spans="17:22" x14ac:dyDescent="0.3">
      <c r="Q512" s="5"/>
      <c r="R512" s="5"/>
      <c r="S512" s="5"/>
      <c r="T512" s="5"/>
      <c r="U512" s="92"/>
      <c r="V512" s="5"/>
    </row>
    <row r="513" spans="17:22" x14ac:dyDescent="0.3">
      <c r="Q513" s="5"/>
      <c r="R513" s="5"/>
      <c r="S513" s="5"/>
      <c r="T513" s="5"/>
      <c r="U513" s="92"/>
      <c r="V513" s="5"/>
    </row>
    <row r="514" spans="17:22" x14ac:dyDescent="0.3">
      <c r="Q514" s="5"/>
      <c r="R514" s="5"/>
      <c r="S514" s="5"/>
      <c r="T514" s="5"/>
      <c r="U514" s="92"/>
      <c r="V514" s="5"/>
    </row>
    <row r="515" spans="17:22" x14ac:dyDescent="0.3">
      <c r="Q515" s="5"/>
      <c r="R515" s="5"/>
      <c r="S515" s="5"/>
      <c r="T515" s="5"/>
      <c r="U515" s="92"/>
      <c r="V515" s="5"/>
    </row>
    <row r="516" spans="17:22" x14ac:dyDescent="0.3">
      <c r="Q516" s="5"/>
      <c r="R516" s="5"/>
      <c r="S516" s="5"/>
      <c r="T516" s="5"/>
      <c r="U516" s="92"/>
      <c r="V516" s="5"/>
    </row>
    <row r="517" spans="17:22" x14ac:dyDescent="0.3">
      <c r="Q517" s="5"/>
      <c r="R517" s="5"/>
      <c r="S517" s="5"/>
      <c r="T517" s="5"/>
      <c r="U517" s="92"/>
      <c r="V517" s="5"/>
    </row>
    <row r="518" spans="17:22" x14ac:dyDescent="0.3">
      <c r="Q518" s="5"/>
      <c r="R518" s="5"/>
      <c r="S518" s="5"/>
      <c r="T518" s="5"/>
      <c r="U518" s="92"/>
      <c r="V518" s="5"/>
    </row>
    <row r="519" spans="17:22" x14ac:dyDescent="0.3">
      <c r="Q519" s="5"/>
      <c r="R519" s="5"/>
      <c r="S519" s="5"/>
      <c r="T519" s="5"/>
      <c r="U519" s="92"/>
      <c r="V519" s="5"/>
    </row>
    <row r="520" spans="17:22" x14ac:dyDescent="0.3">
      <c r="Q520" s="5"/>
      <c r="R520" s="5"/>
      <c r="S520" s="5"/>
      <c r="T520" s="5"/>
      <c r="U520" s="92"/>
      <c r="V520" s="5"/>
    </row>
    <row r="521" spans="17:22" x14ac:dyDescent="0.3">
      <c r="Q521" s="5"/>
      <c r="R521" s="5"/>
      <c r="S521" s="5"/>
      <c r="T521" s="5"/>
      <c r="U521" s="92"/>
      <c r="V521" s="5"/>
    </row>
    <row r="522" spans="17:22" x14ac:dyDescent="0.3">
      <c r="Q522" s="5"/>
      <c r="R522" s="5"/>
      <c r="S522" s="5"/>
      <c r="T522" s="5"/>
      <c r="U522" s="92"/>
      <c r="V522" s="5"/>
    </row>
    <row r="523" spans="17:22" x14ac:dyDescent="0.3">
      <c r="Q523" s="5"/>
      <c r="R523" s="5"/>
      <c r="S523" s="5"/>
      <c r="T523" s="5"/>
      <c r="U523" s="92"/>
      <c r="V523" s="5"/>
    </row>
    <row r="524" spans="17:22" x14ac:dyDescent="0.3">
      <c r="Q524" s="5"/>
      <c r="R524" s="5"/>
      <c r="S524" s="5"/>
      <c r="T524" s="5"/>
      <c r="U524" s="92"/>
      <c r="V524" s="5"/>
    </row>
    <row r="525" spans="17:22" x14ac:dyDescent="0.3">
      <c r="Q525" s="5"/>
      <c r="R525" s="5"/>
      <c r="S525" s="5"/>
      <c r="T525" s="5"/>
      <c r="U525" s="92"/>
      <c r="V525" s="5"/>
    </row>
    <row r="526" spans="17:22" x14ac:dyDescent="0.3">
      <c r="Q526" s="5"/>
      <c r="R526" s="5"/>
      <c r="S526" s="5"/>
      <c r="T526" s="5"/>
      <c r="U526" s="92"/>
      <c r="V526" s="5"/>
    </row>
    <row r="527" spans="17:22" x14ac:dyDescent="0.3">
      <c r="Q527" s="5"/>
      <c r="R527" s="5"/>
      <c r="S527" s="5"/>
      <c r="T527" s="5"/>
      <c r="U527" s="92"/>
      <c r="V527" s="5"/>
    </row>
    <row r="528" spans="17:22" x14ac:dyDescent="0.3">
      <c r="Q528" s="5"/>
      <c r="R528" s="5"/>
      <c r="S528" s="5"/>
      <c r="T528" s="5"/>
      <c r="U528" s="92"/>
      <c r="V528" s="5"/>
    </row>
    <row r="529" spans="17:22" x14ac:dyDescent="0.3">
      <c r="Q529" s="5"/>
      <c r="R529" s="5"/>
      <c r="S529" s="5"/>
      <c r="T529" s="5"/>
      <c r="U529" s="92"/>
      <c r="V529" s="5"/>
    </row>
    <row r="530" spans="17:22" x14ac:dyDescent="0.3">
      <c r="Q530" s="5"/>
      <c r="R530" s="5"/>
      <c r="S530" s="5"/>
      <c r="T530" s="5"/>
      <c r="U530" s="92"/>
      <c r="V530" s="5"/>
    </row>
    <row r="531" spans="17:22" x14ac:dyDescent="0.3">
      <c r="Q531" s="5"/>
      <c r="R531" s="5"/>
      <c r="S531" s="5"/>
      <c r="T531" s="5"/>
      <c r="U531" s="92"/>
      <c r="V531" s="5"/>
    </row>
    <row r="532" spans="17:22" x14ac:dyDescent="0.3">
      <c r="Q532" s="5"/>
      <c r="R532" s="5"/>
      <c r="S532" s="5"/>
      <c r="T532" s="5"/>
      <c r="U532" s="92"/>
      <c r="V532" s="5"/>
    </row>
    <row r="533" spans="17:22" x14ac:dyDescent="0.3">
      <c r="Q533" s="5"/>
      <c r="R533" s="5"/>
      <c r="S533" s="5"/>
      <c r="T533" s="5"/>
      <c r="U533" s="92"/>
      <c r="V533" s="5"/>
    </row>
    <row r="534" spans="17:22" x14ac:dyDescent="0.3">
      <c r="Q534" s="5"/>
      <c r="R534" s="5"/>
      <c r="S534" s="5"/>
      <c r="T534" s="5"/>
      <c r="U534" s="92"/>
      <c r="V534" s="5"/>
    </row>
    <row r="535" spans="17:22" x14ac:dyDescent="0.3">
      <c r="Q535" s="5"/>
      <c r="R535" s="5"/>
      <c r="S535" s="5"/>
      <c r="T535" s="5"/>
      <c r="U535" s="92"/>
      <c r="V535" s="5"/>
    </row>
    <row r="536" spans="17:22" x14ac:dyDescent="0.3">
      <c r="Q536" s="5"/>
      <c r="R536" s="5"/>
      <c r="S536" s="5"/>
      <c r="T536" s="5"/>
      <c r="U536" s="92"/>
      <c r="V536" s="5"/>
    </row>
    <row r="537" spans="17:22" x14ac:dyDescent="0.3">
      <c r="Q537" s="5"/>
      <c r="R537" s="5"/>
      <c r="S537" s="5"/>
      <c r="T537" s="5"/>
      <c r="U537" s="92"/>
      <c r="V537" s="5"/>
    </row>
    <row r="538" spans="17:22" x14ac:dyDescent="0.3">
      <c r="Q538" s="5"/>
      <c r="R538" s="5"/>
      <c r="S538" s="5"/>
      <c r="T538" s="5"/>
      <c r="U538" s="92"/>
      <c r="V538" s="5"/>
    </row>
    <row r="539" spans="17:22" x14ac:dyDescent="0.3">
      <c r="Q539" s="5"/>
      <c r="R539" s="5"/>
      <c r="S539" s="5"/>
      <c r="T539" s="5"/>
      <c r="U539" s="92"/>
      <c r="V539" s="5"/>
    </row>
    <row r="540" spans="17:22" x14ac:dyDescent="0.3">
      <c r="Q540" s="5"/>
      <c r="R540" s="5"/>
      <c r="S540" s="5"/>
      <c r="T540" s="5"/>
      <c r="U540" s="92"/>
      <c r="V540" s="5"/>
    </row>
    <row r="541" spans="17:22" x14ac:dyDescent="0.3">
      <c r="Q541" s="5"/>
      <c r="R541" s="5"/>
      <c r="S541" s="5"/>
      <c r="T541" s="5"/>
      <c r="U541" s="92"/>
      <c r="V541" s="5"/>
    </row>
    <row r="542" spans="17:22" x14ac:dyDescent="0.3">
      <c r="Q542" s="5"/>
      <c r="R542" s="5"/>
      <c r="S542" s="5"/>
      <c r="T542" s="5"/>
      <c r="U542" s="92"/>
      <c r="V542" s="5"/>
    </row>
    <row r="543" spans="17:22" x14ac:dyDescent="0.3">
      <c r="Q543" s="5"/>
      <c r="R543" s="5"/>
      <c r="S543" s="5"/>
      <c r="T543" s="5"/>
      <c r="U543" s="92"/>
      <c r="V543" s="5"/>
    </row>
    <row r="544" spans="17:22" x14ac:dyDescent="0.3">
      <c r="Q544" s="5"/>
      <c r="R544" s="5"/>
      <c r="S544" s="5"/>
      <c r="T544" s="5"/>
      <c r="U544" s="92"/>
      <c r="V544" s="5"/>
    </row>
    <row r="545" spans="17:22" x14ac:dyDescent="0.3">
      <c r="Q545" s="5"/>
      <c r="R545" s="5"/>
      <c r="S545" s="5"/>
      <c r="T545" s="5"/>
      <c r="U545" s="92"/>
      <c r="V545" s="5"/>
    </row>
    <row r="546" spans="17:22" x14ac:dyDescent="0.3">
      <c r="Q546" s="5"/>
      <c r="R546" s="5"/>
      <c r="S546" s="5"/>
      <c r="T546" s="5"/>
      <c r="U546" s="92"/>
      <c r="V546" s="5"/>
    </row>
    <row r="547" spans="17:22" x14ac:dyDescent="0.3">
      <c r="Q547" s="5"/>
      <c r="R547" s="5"/>
      <c r="S547" s="5"/>
      <c r="T547" s="5"/>
      <c r="U547" s="92"/>
      <c r="V547" s="5"/>
    </row>
    <row r="548" spans="17:22" x14ac:dyDescent="0.3">
      <c r="Q548" s="5"/>
      <c r="R548" s="5"/>
      <c r="S548" s="5"/>
      <c r="T548" s="5"/>
      <c r="U548" s="92"/>
      <c r="V548" s="5"/>
    </row>
    <row r="549" spans="17:22" x14ac:dyDescent="0.3">
      <c r="Q549" s="5"/>
      <c r="R549" s="5"/>
      <c r="S549" s="5"/>
      <c r="T549" s="5"/>
      <c r="U549" s="92"/>
      <c r="V549" s="5"/>
    </row>
    <row r="550" spans="17:22" x14ac:dyDescent="0.3">
      <c r="Q550" s="5"/>
      <c r="R550" s="5"/>
      <c r="S550" s="5"/>
      <c r="T550" s="5"/>
      <c r="U550" s="92"/>
      <c r="V550" s="5"/>
    </row>
    <row r="551" spans="17:22" x14ac:dyDescent="0.3">
      <c r="Q551" s="5"/>
      <c r="R551" s="5"/>
      <c r="S551" s="5"/>
      <c r="T551" s="5"/>
      <c r="U551" s="92"/>
      <c r="V551" s="5"/>
    </row>
    <row r="552" spans="17:22" x14ac:dyDescent="0.3">
      <c r="Q552" s="5"/>
      <c r="R552" s="5"/>
      <c r="S552" s="5"/>
      <c r="T552" s="5"/>
      <c r="U552" s="92"/>
      <c r="V552" s="5"/>
    </row>
    <row r="553" spans="17:22" x14ac:dyDescent="0.3">
      <c r="Q553" s="5"/>
      <c r="R553" s="5"/>
      <c r="S553" s="5"/>
      <c r="T553" s="5"/>
      <c r="U553" s="92"/>
      <c r="V553" s="5"/>
    </row>
    <row r="554" spans="17:22" x14ac:dyDescent="0.3">
      <c r="Q554" s="5"/>
      <c r="R554" s="5"/>
      <c r="S554" s="5"/>
      <c r="T554" s="5"/>
      <c r="U554" s="92"/>
      <c r="V554" s="5"/>
    </row>
    <row r="555" spans="17:22" x14ac:dyDescent="0.3">
      <c r="Q555" s="5"/>
      <c r="R555" s="5"/>
      <c r="S555" s="5"/>
      <c r="T555" s="5"/>
      <c r="U555" s="92"/>
      <c r="V555" s="5"/>
    </row>
    <row r="556" spans="17:22" x14ac:dyDescent="0.3">
      <c r="Q556" s="5"/>
      <c r="R556" s="5"/>
      <c r="S556" s="5"/>
      <c r="T556" s="5"/>
      <c r="U556" s="92"/>
      <c r="V556" s="5"/>
    </row>
    <row r="557" spans="17:22" x14ac:dyDescent="0.3">
      <c r="Q557" s="5"/>
      <c r="R557" s="5"/>
      <c r="S557" s="5"/>
      <c r="T557" s="5"/>
      <c r="U557" s="92"/>
      <c r="V557" s="5"/>
    </row>
    <row r="558" spans="17:22" x14ac:dyDescent="0.3">
      <c r="Q558" s="5"/>
      <c r="R558" s="5"/>
      <c r="S558" s="5"/>
      <c r="T558" s="5"/>
      <c r="U558" s="92"/>
      <c r="V558" s="5"/>
    </row>
    <row r="559" spans="17:22" x14ac:dyDescent="0.3">
      <c r="Q559" s="5"/>
      <c r="R559" s="5"/>
      <c r="S559" s="5"/>
      <c r="T559" s="5"/>
      <c r="U559" s="92"/>
      <c r="V559" s="5"/>
    </row>
    <row r="560" spans="17:22" x14ac:dyDescent="0.3">
      <c r="Q560" s="5"/>
      <c r="R560" s="5"/>
      <c r="S560" s="5"/>
      <c r="T560" s="5"/>
      <c r="U560" s="92"/>
      <c r="V560" s="5"/>
    </row>
    <row r="561" spans="17:22" x14ac:dyDescent="0.3">
      <c r="Q561" s="5"/>
      <c r="R561" s="5"/>
      <c r="S561" s="5"/>
      <c r="T561" s="5"/>
      <c r="U561" s="92"/>
      <c r="V561" s="5"/>
    </row>
    <row r="562" spans="17:22" x14ac:dyDescent="0.3">
      <c r="Q562" s="5"/>
      <c r="R562" s="5"/>
      <c r="S562" s="5"/>
      <c r="T562" s="5"/>
      <c r="U562" s="92"/>
      <c r="V562" s="5"/>
    </row>
    <row r="563" spans="17:22" x14ac:dyDescent="0.3">
      <c r="Q563" s="5"/>
      <c r="R563" s="5"/>
      <c r="S563" s="5"/>
      <c r="T563" s="5"/>
      <c r="U563" s="92"/>
      <c r="V563" s="5"/>
    </row>
    <row r="564" spans="17:22" x14ac:dyDescent="0.3">
      <c r="Q564" s="5"/>
      <c r="R564" s="5"/>
      <c r="S564" s="5"/>
      <c r="T564" s="5"/>
      <c r="U564" s="92"/>
      <c r="V564" s="5"/>
    </row>
    <row r="565" spans="17:22" x14ac:dyDescent="0.3">
      <c r="Q565" s="5"/>
      <c r="R565" s="5"/>
      <c r="S565" s="5"/>
      <c r="T565" s="5"/>
      <c r="U565" s="92"/>
      <c r="V565" s="5"/>
    </row>
    <row r="566" spans="17:22" x14ac:dyDescent="0.3">
      <c r="Q566" s="5"/>
      <c r="R566" s="5"/>
      <c r="S566" s="5"/>
      <c r="T566" s="5"/>
      <c r="U566" s="92"/>
      <c r="V566" s="5"/>
    </row>
    <row r="567" spans="17:22" x14ac:dyDescent="0.3">
      <c r="Q567" s="5"/>
      <c r="R567" s="5"/>
      <c r="S567" s="5"/>
      <c r="T567" s="5"/>
      <c r="U567" s="92"/>
      <c r="V567" s="5"/>
    </row>
    <row r="568" spans="17:22" x14ac:dyDescent="0.3">
      <c r="Q568" s="5"/>
      <c r="R568" s="5"/>
      <c r="S568" s="5"/>
      <c r="T568" s="5"/>
      <c r="U568" s="92"/>
      <c r="V568" s="5"/>
    </row>
    <row r="569" spans="17:22" x14ac:dyDescent="0.3">
      <c r="Q569" s="5"/>
      <c r="R569" s="5"/>
      <c r="S569" s="5"/>
      <c r="T569" s="5"/>
      <c r="U569" s="92"/>
      <c r="V569" s="5"/>
    </row>
    <row r="570" spans="17:22" x14ac:dyDescent="0.3">
      <c r="Q570" s="5"/>
      <c r="R570" s="5"/>
      <c r="S570" s="5"/>
      <c r="T570" s="5"/>
      <c r="U570" s="92"/>
      <c r="V570" s="5"/>
    </row>
    <row r="571" spans="17:22" x14ac:dyDescent="0.3">
      <c r="Q571" s="5"/>
      <c r="R571" s="5"/>
      <c r="S571" s="5"/>
      <c r="T571" s="5"/>
      <c r="U571" s="92"/>
      <c r="V571" s="5"/>
    </row>
    <row r="572" spans="17:22" x14ac:dyDescent="0.3">
      <c r="Q572" s="5"/>
      <c r="R572" s="5"/>
      <c r="S572" s="5"/>
      <c r="T572" s="5"/>
      <c r="U572" s="92"/>
      <c r="V572" s="5"/>
    </row>
    <row r="573" spans="17:22" x14ac:dyDescent="0.3">
      <c r="Q573" s="5"/>
      <c r="R573" s="5"/>
      <c r="S573" s="5"/>
      <c r="T573" s="5"/>
      <c r="U573" s="92"/>
      <c r="V573" s="5"/>
    </row>
    <row r="574" spans="17:22" x14ac:dyDescent="0.3">
      <c r="Q574" s="5"/>
      <c r="R574" s="5"/>
      <c r="S574" s="5"/>
      <c r="T574" s="5"/>
      <c r="U574" s="92"/>
      <c r="V574" s="5"/>
    </row>
    <row r="575" spans="17:22" x14ac:dyDescent="0.3">
      <c r="Q575" s="5"/>
      <c r="R575" s="5"/>
      <c r="S575" s="5"/>
      <c r="T575" s="5"/>
      <c r="U575" s="92"/>
      <c r="V575" s="5"/>
    </row>
    <row r="576" spans="17:22" x14ac:dyDescent="0.3">
      <c r="Q576" s="5"/>
      <c r="R576" s="5"/>
      <c r="S576" s="5"/>
      <c r="T576" s="5"/>
      <c r="U576" s="92"/>
      <c r="V576" s="5"/>
    </row>
    <row r="577" spans="17:22" x14ac:dyDescent="0.3">
      <c r="Q577" s="5"/>
      <c r="R577" s="5"/>
      <c r="S577" s="5"/>
      <c r="T577" s="5"/>
      <c r="U577" s="92"/>
      <c r="V577" s="5"/>
    </row>
    <row r="578" spans="17:22" x14ac:dyDescent="0.3">
      <c r="Q578" s="5"/>
      <c r="R578" s="5"/>
      <c r="S578" s="5"/>
      <c r="T578" s="5"/>
      <c r="U578" s="92"/>
      <c r="V578" s="5"/>
    </row>
    <row r="579" spans="17:22" x14ac:dyDescent="0.3">
      <c r="Q579" s="5"/>
      <c r="R579" s="5"/>
      <c r="S579" s="5"/>
      <c r="T579" s="5"/>
      <c r="U579" s="92"/>
      <c r="V579" s="5"/>
    </row>
    <row r="580" spans="17:22" x14ac:dyDescent="0.3">
      <c r="Q580" s="5"/>
      <c r="R580" s="5"/>
      <c r="S580" s="5"/>
      <c r="T580" s="5"/>
      <c r="U580" s="92"/>
      <c r="V580" s="5"/>
    </row>
    <row r="581" spans="17:22" x14ac:dyDescent="0.3">
      <c r="Q581" s="5"/>
      <c r="R581" s="5"/>
      <c r="S581" s="5"/>
      <c r="T581" s="5"/>
      <c r="U581" s="92"/>
      <c r="V581" s="5"/>
    </row>
    <row r="582" spans="17:22" x14ac:dyDescent="0.3">
      <c r="Q582" s="5"/>
      <c r="R582" s="5"/>
      <c r="S582" s="5"/>
      <c r="T582" s="5"/>
      <c r="U582" s="92"/>
      <c r="V582" s="5"/>
    </row>
    <row r="583" spans="17:22" x14ac:dyDescent="0.3">
      <c r="Q583" s="5"/>
      <c r="R583" s="5"/>
      <c r="S583" s="5"/>
      <c r="T583" s="5"/>
      <c r="U583" s="92"/>
      <c r="V583" s="5"/>
    </row>
    <row r="584" spans="17:22" x14ac:dyDescent="0.3">
      <c r="Q584" s="5"/>
      <c r="R584" s="5"/>
      <c r="S584" s="5"/>
      <c r="T584" s="5"/>
      <c r="U584" s="92"/>
      <c r="V584" s="5"/>
    </row>
    <row r="585" spans="17:22" x14ac:dyDescent="0.3">
      <c r="Q585" s="5"/>
      <c r="R585" s="5"/>
      <c r="S585" s="5"/>
      <c r="T585" s="5"/>
      <c r="U585" s="92"/>
      <c r="V585" s="5"/>
    </row>
    <row r="586" spans="17:22" x14ac:dyDescent="0.3">
      <c r="Q586" s="5"/>
      <c r="R586" s="5"/>
      <c r="S586" s="5"/>
      <c r="T586" s="5"/>
      <c r="U586" s="92"/>
      <c r="V586" s="5"/>
    </row>
    <row r="587" spans="17:22" x14ac:dyDescent="0.3">
      <c r="Q587" s="5"/>
      <c r="R587" s="5"/>
      <c r="S587" s="5"/>
      <c r="T587" s="5"/>
      <c r="U587" s="92"/>
      <c r="V587" s="5"/>
    </row>
    <row r="588" spans="17:22" x14ac:dyDescent="0.3">
      <c r="Q588" s="5"/>
      <c r="R588" s="5"/>
      <c r="S588" s="5"/>
      <c r="T588" s="5"/>
      <c r="U588" s="92"/>
      <c r="V588" s="5"/>
    </row>
    <row r="589" spans="17:22" x14ac:dyDescent="0.3">
      <c r="Q589" s="5"/>
      <c r="R589" s="5"/>
      <c r="S589" s="5"/>
      <c r="T589" s="5"/>
      <c r="U589" s="92"/>
      <c r="V589" s="5"/>
    </row>
    <row r="590" spans="17:22" x14ac:dyDescent="0.3">
      <c r="Q590" s="5"/>
      <c r="R590" s="5"/>
      <c r="S590" s="5"/>
      <c r="T590" s="5"/>
      <c r="U590" s="92"/>
      <c r="V590" s="5"/>
    </row>
    <row r="591" spans="17:22" x14ac:dyDescent="0.3">
      <c r="Q591" s="5"/>
      <c r="R591" s="5"/>
      <c r="S591" s="5"/>
      <c r="T591" s="5"/>
      <c r="U591" s="92"/>
      <c r="V591" s="5"/>
    </row>
    <row r="592" spans="17:22" x14ac:dyDescent="0.3">
      <c r="Q592" s="5"/>
      <c r="R592" s="5"/>
      <c r="S592" s="5"/>
      <c r="T592" s="5"/>
      <c r="U592" s="92"/>
      <c r="V592" s="5"/>
    </row>
    <row r="593" spans="17:22" x14ac:dyDescent="0.3">
      <c r="Q593" s="5"/>
      <c r="R593" s="5"/>
      <c r="S593" s="5"/>
      <c r="T593" s="5"/>
      <c r="U593" s="92"/>
      <c r="V593" s="5"/>
    </row>
    <row r="594" spans="17:22" x14ac:dyDescent="0.3">
      <c r="Q594" s="5"/>
      <c r="R594" s="5"/>
      <c r="S594" s="5"/>
      <c r="T594" s="5"/>
      <c r="U594" s="92"/>
      <c r="V594" s="5"/>
    </row>
    <row r="595" spans="17:22" x14ac:dyDescent="0.3">
      <c r="Q595" s="5"/>
      <c r="R595" s="5"/>
      <c r="S595" s="5"/>
      <c r="T595" s="5"/>
      <c r="U595" s="92"/>
      <c r="V595" s="5"/>
    </row>
    <row r="596" spans="17:22" x14ac:dyDescent="0.3">
      <c r="Q596" s="5"/>
      <c r="R596" s="5"/>
      <c r="S596" s="5"/>
      <c r="T596" s="5"/>
      <c r="U596" s="92"/>
      <c r="V596" s="5"/>
    </row>
    <row r="597" spans="17:22" x14ac:dyDescent="0.3">
      <c r="Q597" s="5"/>
      <c r="R597" s="5"/>
      <c r="S597" s="5"/>
      <c r="T597" s="5"/>
      <c r="U597" s="92"/>
      <c r="V597" s="5"/>
    </row>
    <row r="598" spans="17:22" x14ac:dyDescent="0.3">
      <c r="Q598" s="5"/>
      <c r="R598" s="5"/>
      <c r="S598" s="5"/>
      <c r="T598" s="5"/>
      <c r="U598" s="92"/>
      <c r="V598" s="5"/>
    </row>
    <row r="599" spans="17:22" x14ac:dyDescent="0.3">
      <c r="Q599" s="5"/>
      <c r="R599" s="5"/>
      <c r="S599" s="5"/>
      <c r="T599" s="5"/>
      <c r="U599" s="92"/>
      <c r="V599" s="5"/>
    </row>
    <row r="600" spans="17:22" x14ac:dyDescent="0.3">
      <c r="Q600" s="5"/>
      <c r="R600" s="5"/>
      <c r="S600" s="5"/>
      <c r="T600" s="5"/>
      <c r="U600" s="92"/>
      <c r="V600" s="5"/>
    </row>
    <row r="601" spans="17:22" x14ac:dyDescent="0.3">
      <c r="Q601" s="5"/>
      <c r="R601" s="5"/>
      <c r="S601" s="5"/>
      <c r="T601" s="5"/>
      <c r="U601" s="92"/>
      <c r="V601" s="5"/>
    </row>
    <row r="602" spans="17:22" x14ac:dyDescent="0.3">
      <c r="Q602" s="5"/>
      <c r="R602" s="5"/>
      <c r="S602" s="5"/>
      <c r="T602" s="5"/>
      <c r="U602" s="92"/>
      <c r="V602" s="5"/>
    </row>
    <row r="603" spans="17:22" x14ac:dyDescent="0.3">
      <c r="Q603" s="5"/>
      <c r="R603" s="5"/>
      <c r="S603" s="5"/>
      <c r="T603" s="5"/>
      <c r="U603" s="92"/>
      <c r="V603" s="5"/>
    </row>
    <row r="604" spans="17:22" x14ac:dyDescent="0.3">
      <c r="Q604" s="5"/>
      <c r="R604" s="5"/>
      <c r="S604" s="5"/>
      <c r="T604" s="5"/>
      <c r="U604" s="92"/>
      <c r="V604" s="5"/>
    </row>
    <row r="605" spans="17:22" x14ac:dyDescent="0.3">
      <c r="Q605" s="5"/>
      <c r="R605" s="5"/>
      <c r="S605" s="5"/>
      <c r="T605" s="5"/>
      <c r="U605" s="92"/>
      <c r="V605" s="5"/>
    </row>
    <row r="606" spans="17:22" x14ac:dyDescent="0.3">
      <c r="Q606" s="5"/>
      <c r="R606" s="5"/>
      <c r="S606" s="5"/>
      <c r="T606" s="5"/>
      <c r="U606" s="92"/>
      <c r="V606" s="5"/>
    </row>
    <row r="607" spans="17:22" x14ac:dyDescent="0.3">
      <c r="Q607" s="5"/>
      <c r="R607" s="5"/>
      <c r="S607" s="5"/>
      <c r="T607" s="5"/>
      <c r="U607" s="92"/>
      <c r="V607" s="5"/>
    </row>
    <row r="608" spans="17:22" x14ac:dyDescent="0.3">
      <c r="Q608" s="5"/>
      <c r="R608" s="5"/>
      <c r="S608" s="5"/>
      <c r="T608" s="5"/>
      <c r="U608" s="92"/>
      <c r="V608" s="5"/>
    </row>
    <row r="609" spans="17:22" x14ac:dyDescent="0.3">
      <c r="Q609" s="5"/>
      <c r="R609" s="5"/>
      <c r="S609" s="5"/>
      <c r="T609" s="5"/>
      <c r="U609" s="92"/>
      <c r="V609" s="5"/>
    </row>
    <row r="610" spans="17:22" x14ac:dyDescent="0.3">
      <c r="Q610" s="5"/>
      <c r="R610" s="5"/>
      <c r="S610" s="5"/>
      <c r="T610" s="5"/>
      <c r="U610" s="92"/>
      <c r="V610" s="5"/>
    </row>
    <row r="611" spans="17:22" x14ac:dyDescent="0.3">
      <c r="Q611" s="5"/>
      <c r="R611" s="5"/>
      <c r="S611" s="5"/>
      <c r="T611" s="5"/>
      <c r="U611" s="92"/>
      <c r="V611" s="5"/>
    </row>
    <row r="612" spans="17:22" x14ac:dyDescent="0.3">
      <c r="Q612" s="5"/>
      <c r="R612" s="5"/>
      <c r="S612" s="5"/>
      <c r="T612" s="5"/>
      <c r="U612" s="92"/>
      <c r="V612" s="5"/>
    </row>
    <row r="613" spans="17:22" x14ac:dyDescent="0.3">
      <c r="Q613" s="5"/>
      <c r="R613" s="5"/>
      <c r="S613" s="5"/>
      <c r="T613" s="5"/>
      <c r="U613" s="92"/>
      <c r="V613" s="5"/>
    </row>
    <row r="614" spans="17:22" x14ac:dyDescent="0.3">
      <c r="Q614" s="5"/>
      <c r="R614" s="5"/>
      <c r="S614" s="5"/>
      <c r="T614" s="5"/>
      <c r="U614" s="92"/>
      <c r="V614" s="5"/>
    </row>
    <row r="615" spans="17:22" x14ac:dyDescent="0.3">
      <c r="Q615" s="5"/>
      <c r="R615" s="5"/>
      <c r="S615" s="5"/>
      <c r="T615" s="5"/>
      <c r="U615" s="92"/>
      <c r="V615" s="5"/>
    </row>
    <row r="616" spans="17:22" x14ac:dyDescent="0.3">
      <c r="Q616" s="5"/>
      <c r="R616" s="5"/>
      <c r="S616" s="5"/>
      <c r="T616" s="5"/>
      <c r="U616" s="92"/>
      <c r="V616" s="5"/>
    </row>
    <row r="617" spans="17:22" x14ac:dyDescent="0.3">
      <c r="Q617" s="5"/>
      <c r="R617" s="5"/>
      <c r="S617" s="5"/>
      <c r="T617" s="5"/>
      <c r="U617" s="92"/>
      <c r="V617" s="5"/>
    </row>
    <row r="618" spans="17:22" x14ac:dyDescent="0.3">
      <c r="Q618" s="5"/>
      <c r="R618" s="5"/>
      <c r="S618" s="5"/>
      <c r="T618" s="5"/>
      <c r="U618" s="92"/>
      <c r="V618" s="5"/>
    </row>
    <row r="619" spans="17:22" x14ac:dyDescent="0.3">
      <c r="Q619" s="5"/>
      <c r="R619" s="5"/>
      <c r="S619" s="5"/>
      <c r="T619" s="5"/>
      <c r="U619" s="92"/>
      <c r="V619" s="5"/>
    </row>
    <row r="620" spans="17:22" x14ac:dyDescent="0.3">
      <c r="Q620" s="5"/>
      <c r="R620" s="5"/>
      <c r="S620" s="5"/>
      <c r="T620" s="5"/>
      <c r="U620" s="92"/>
      <c r="V620" s="5"/>
    </row>
    <row r="621" spans="17:22" x14ac:dyDescent="0.3">
      <c r="Q621" s="5"/>
      <c r="R621" s="5"/>
      <c r="S621" s="5"/>
      <c r="T621" s="5"/>
      <c r="U621" s="92"/>
      <c r="V621" s="5"/>
    </row>
    <row r="622" spans="17:22" x14ac:dyDescent="0.3">
      <c r="Q622" s="5"/>
      <c r="R622" s="5"/>
      <c r="S622" s="5"/>
      <c r="T622" s="5"/>
      <c r="U622" s="92"/>
      <c r="V622" s="5"/>
    </row>
    <row r="623" spans="17:22" x14ac:dyDescent="0.3">
      <c r="Q623" s="5"/>
      <c r="R623" s="5"/>
      <c r="S623" s="5"/>
      <c r="T623" s="5"/>
      <c r="U623" s="92"/>
      <c r="V623" s="5"/>
    </row>
    <row r="624" spans="17:22" x14ac:dyDescent="0.3">
      <c r="Q624" s="5"/>
      <c r="R624" s="5"/>
      <c r="S624" s="5"/>
      <c r="T624" s="5"/>
      <c r="U624" s="92"/>
      <c r="V624" s="5"/>
    </row>
    <row r="625" spans="17:22" x14ac:dyDescent="0.3">
      <c r="Q625" s="5"/>
      <c r="R625" s="5"/>
      <c r="S625" s="5"/>
      <c r="T625" s="5"/>
      <c r="U625" s="92"/>
      <c r="V625" s="5"/>
    </row>
    <row r="626" spans="17:22" x14ac:dyDescent="0.3">
      <c r="Q626" s="5"/>
      <c r="R626" s="5"/>
      <c r="S626" s="5"/>
      <c r="T626" s="5"/>
      <c r="U626" s="92"/>
      <c r="V626" s="5"/>
    </row>
    <row r="627" spans="17:22" x14ac:dyDescent="0.3">
      <c r="Q627" s="5"/>
      <c r="R627" s="5"/>
      <c r="S627" s="5"/>
      <c r="T627" s="5"/>
      <c r="U627" s="92"/>
      <c r="V627" s="5"/>
    </row>
    <row r="628" spans="17:22" x14ac:dyDescent="0.3">
      <c r="Q628" s="5"/>
      <c r="R628" s="5"/>
      <c r="S628" s="5"/>
      <c r="T628" s="5"/>
      <c r="U628" s="92"/>
      <c r="V628" s="5"/>
    </row>
    <row r="629" spans="17:22" x14ac:dyDescent="0.3">
      <c r="Q629" s="5"/>
      <c r="R629" s="5"/>
      <c r="S629" s="5"/>
      <c r="T629" s="5"/>
      <c r="U629" s="92"/>
      <c r="V629" s="5"/>
    </row>
    <row r="630" spans="17:22" x14ac:dyDescent="0.3">
      <c r="Q630" s="5"/>
      <c r="R630" s="5"/>
      <c r="S630" s="5"/>
      <c r="T630" s="5"/>
      <c r="U630" s="92"/>
      <c r="V630" s="5"/>
    </row>
    <row r="631" spans="17:22" x14ac:dyDescent="0.3">
      <c r="Q631" s="5"/>
      <c r="R631" s="5"/>
      <c r="S631" s="5"/>
      <c r="T631" s="5"/>
      <c r="U631" s="92"/>
      <c r="V631" s="5"/>
    </row>
    <row r="632" spans="17:22" x14ac:dyDescent="0.3">
      <c r="Q632" s="5"/>
      <c r="R632" s="5"/>
      <c r="S632" s="5"/>
      <c r="T632" s="5"/>
      <c r="U632" s="92"/>
      <c r="V632" s="5"/>
    </row>
    <row r="633" spans="17:22" x14ac:dyDescent="0.3">
      <c r="Q633" s="5"/>
      <c r="R633" s="5"/>
      <c r="S633" s="5"/>
      <c r="T633" s="5"/>
      <c r="U633" s="92"/>
      <c r="V633" s="5"/>
    </row>
    <row r="634" spans="17:22" x14ac:dyDescent="0.3">
      <c r="Q634" s="5"/>
      <c r="R634" s="5"/>
      <c r="S634" s="5"/>
      <c r="T634" s="5"/>
      <c r="U634" s="92"/>
      <c r="V634" s="5"/>
    </row>
    <row r="635" spans="17:22" x14ac:dyDescent="0.3">
      <c r="Q635" s="5"/>
      <c r="R635" s="5"/>
      <c r="S635" s="5"/>
      <c r="T635" s="5"/>
      <c r="U635" s="92"/>
      <c r="V635" s="5"/>
    </row>
    <row r="636" spans="17:22" x14ac:dyDescent="0.3">
      <c r="Q636" s="5"/>
      <c r="R636" s="5"/>
      <c r="S636" s="5"/>
      <c r="T636" s="5"/>
      <c r="U636" s="92"/>
      <c r="V636" s="5"/>
    </row>
    <row r="637" spans="17:22" x14ac:dyDescent="0.3">
      <c r="Q637" s="5"/>
      <c r="R637" s="5"/>
      <c r="S637" s="5"/>
      <c r="T637" s="5"/>
      <c r="U637" s="92"/>
      <c r="V637" s="5"/>
    </row>
    <row r="638" spans="17:22" x14ac:dyDescent="0.3">
      <c r="Q638" s="5"/>
      <c r="R638" s="5"/>
      <c r="S638" s="5"/>
      <c r="T638" s="5"/>
      <c r="U638" s="92"/>
      <c r="V638" s="5"/>
    </row>
    <row r="639" spans="17:22" x14ac:dyDescent="0.3">
      <c r="Q639" s="5"/>
      <c r="R639" s="5"/>
      <c r="S639" s="5"/>
      <c r="T639" s="5"/>
      <c r="U639" s="92"/>
      <c r="V639" s="5"/>
    </row>
    <row r="640" spans="17:22" x14ac:dyDescent="0.3">
      <c r="Q640" s="5"/>
      <c r="R640" s="5"/>
      <c r="S640" s="5"/>
      <c r="T640" s="5"/>
      <c r="U640" s="92"/>
      <c r="V640" s="5"/>
    </row>
    <row r="641" spans="17:22" x14ac:dyDescent="0.3">
      <c r="Q641" s="5"/>
      <c r="R641" s="5"/>
      <c r="S641" s="5"/>
      <c r="T641" s="5"/>
      <c r="U641" s="92"/>
      <c r="V641" s="5"/>
    </row>
    <row r="642" spans="17:22" x14ac:dyDescent="0.3">
      <c r="Q642" s="5"/>
      <c r="R642" s="5"/>
      <c r="S642" s="5"/>
      <c r="T642" s="5"/>
      <c r="U642" s="92"/>
      <c r="V642" s="5"/>
    </row>
    <row r="643" spans="17:22" x14ac:dyDescent="0.3">
      <c r="Q643" s="5"/>
      <c r="R643" s="5"/>
      <c r="S643" s="5"/>
      <c r="T643" s="5"/>
      <c r="U643" s="92"/>
      <c r="V643" s="5"/>
    </row>
    <row r="644" spans="17:22" x14ac:dyDescent="0.3">
      <c r="Q644" s="5"/>
      <c r="R644" s="5"/>
      <c r="S644" s="5"/>
      <c r="T644" s="5"/>
      <c r="U644" s="92"/>
      <c r="V644" s="5"/>
    </row>
    <row r="645" spans="17:22" x14ac:dyDescent="0.3">
      <c r="Q645" s="5"/>
      <c r="R645" s="5"/>
      <c r="S645" s="5"/>
      <c r="T645" s="5"/>
      <c r="U645" s="92"/>
      <c r="V645" s="5"/>
    </row>
    <row r="646" spans="17:22" x14ac:dyDescent="0.3">
      <c r="Q646" s="5"/>
      <c r="R646" s="5"/>
      <c r="S646" s="5"/>
      <c r="T646" s="5"/>
      <c r="U646" s="92"/>
      <c r="V646" s="5"/>
    </row>
    <row r="647" spans="17:22" x14ac:dyDescent="0.3">
      <c r="Q647" s="5"/>
      <c r="R647" s="5"/>
      <c r="S647" s="5"/>
      <c r="T647" s="5"/>
      <c r="U647" s="92"/>
      <c r="V647" s="5"/>
    </row>
    <row r="648" spans="17:22" x14ac:dyDescent="0.3">
      <c r="Q648" s="5"/>
      <c r="R648" s="5"/>
      <c r="S648" s="5"/>
      <c r="T648" s="5"/>
      <c r="U648" s="92"/>
      <c r="V648" s="5"/>
    </row>
    <row r="649" spans="17:22" x14ac:dyDescent="0.3">
      <c r="Q649" s="5"/>
      <c r="R649" s="5"/>
      <c r="S649" s="5"/>
      <c r="T649" s="5"/>
      <c r="U649" s="92"/>
      <c r="V649" s="5"/>
    </row>
    <row r="650" spans="17:22" x14ac:dyDescent="0.3">
      <c r="Q650" s="5"/>
      <c r="R650" s="5"/>
      <c r="S650" s="5"/>
      <c r="T650" s="5"/>
      <c r="U650" s="92"/>
      <c r="V650" s="5"/>
    </row>
    <row r="651" spans="17:22" x14ac:dyDescent="0.3">
      <c r="Q651" s="5"/>
      <c r="R651" s="5"/>
      <c r="S651" s="5"/>
      <c r="T651" s="5"/>
      <c r="U651" s="92"/>
      <c r="V651" s="5"/>
    </row>
    <row r="652" spans="17:22" x14ac:dyDescent="0.3">
      <c r="Q652" s="5"/>
      <c r="R652" s="5"/>
      <c r="S652" s="5"/>
      <c r="T652" s="5"/>
      <c r="U652" s="92"/>
      <c r="V652" s="5"/>
    </row>
    <row r="653" spans="17:22" x14ac:dyDescent="0.3">
      <c r="Q653" s="5"/>
      <c r="R653" s="5"/>
      <c r="S653" s="5"/>
      <c r="T653" s="5"/>
      <c r="U653" s="92"/>
      <c r="V653" s="5"/>
    </row>
    <row r="654" spans="17:22" x14ac:dyDescent="0.3">
      <c r="Q654" s="5"/>
      <c r="R654" s="5"/>
      <c r="S654" s="5"/>
      <c r="T654" s="5"/>
      <c r="U654" s="92"/>
      <c r="V654" s="5"/>
    </row>
    <row r="655" spans="17:22" x14ac:dyDescent="0.3">
      <c r="Q655" s="5"/>
      <c r="R655" s="5"/>
      <c r="S655" s="5"/>
      <c r="T655" s="5"/>
      <c r="U655" s="92"/>
      <c r="V655" s="5"/>
    </row>
    <row r="656" spans="17:22" x14ac:dyDescent="0.3">
      <c r="Q656" s="5"/>
      <c r="R656" s="5"/>
      <c r="S656" s="5"/>
      <c r="T656" s="5"/>
      <c r="U656" s="92"/>
      <c r="V656" s="5"/>
    </row>
    <row r="657" spans="17:22" x14ac:dyDescent="0.3">
      <c r="Q657" s="5"/>
      <c r="R657" s="5"/>
      <c r="S657" s="5"/>
      <c r="T657" s="5"/>
      <c r="U657" s="92"/>
      <c r="V657" s="5"/>
    </row>
    <row r="658" spans="17:22" x14ac:dyDescent="0.3">
      <c r="Q658" s="5"/>
      <c r="R658" s="5"/>
      <c r="S658" s="5"/>
      <c r="T658" s="5"/>
      <c r="U658" s="92"/>
      <c r="V658" s="5"/>
    </row>
    <row r="659" spans="17:22" x14ac:dyDescent="0.3">
      <c r="Q659" s="5"/>
      <c r="R659" s="5"/>
      <c r="S659" s="5"/>
      <c r="T659" s="5"/>
      <c r="U659" s="92"/>
      <c r="V659" s="5"/>
    </row>
    <row r="660" spans="17:22" x14ac:dyDescent="0.3">
      <c r="Q660" s="5"/>
      <c r="R660" s="5"/>
      <c r="S660" s="5"/>
      <c r="T660" s="5"/>
      <c r="U660" s="92"/>
      <c r="V660" s="5"/>
    </row>
    <row r="661" spans="17:22" x14ac:dyDescent="0.3">
      <c r="Q661" s="5"/>
      <c r="R661" s="5"/>
      <c r="S661" s="5"/>
      <c r="T661" s="5"/>
      <c r="U661" s="92"/>
      <c r="V661" s="5"/>
    </row>
    <row r="662" spans="17:22" x14ac:dyDescent="0.3">
      <c r="Q662" s="5"/>
      <c r="R662" s="5"/>
      <c r="S662" s="5"/>
      <c r="T662" s="5"/>
      <c r="U662" s="92"/>
      <c r="V662" s="5"/>
    </row>
    <row r="663" spans="17:22" x14ac:dyDescent="0.3">
      <c r="Q663" s="5"/>
      <c r="R663" s="5"/>
      <c r="S663" s="5"/>
      <c r="T663" s="5"/>
      <c r="U663" s="92"/>
      <c r="V663" s="5"/>
    </row>
    <row r="664" spans="17:22" x14ac:dyDescent="0.3">
      <c r="Q664" s="5"/>
      <c r="R664" s="5"/>
      <c r="S664" s="5"/>
      <c r="T664" s="5"/>
      <c r="U664" s="92"/>
      <c r="V664" s="5"/>
    </row>
    <row r="665" spans="17:22" x14ac:dyDescent="0.3">
      <c r="Q665" s="5"/>
      <c r="R665" s="5"/>
      <c r="S665" s="5"/>
      <c r="T665" s="5"/>
      <c r="U665" s="92"/>
      <c r="V665" s="5"/>
    </row>
    <row r="666" spans="17:22" x14ac:dyDescent="0.3">
      <c r="Q666" s="5"/>
      <c r="R666" s="5"/>
      <c r="S666" s="5"/>
      <c r="T666" s="5"/>
      <c r="U666" s="92"/>
      <c r="V666" s="5"/>
    </row>
    <row r="667" spans="17:22" x14ac:dyDescent="0.3">
      <c r="Q667" s="5"/>
      <c r="R667" s="5"/>
      <c r="S667" s="5"/>
      <c r="T667" s="5"/>
      <c r="U667" s="92"/>
      <c r="V667" s="5"/>
    </row>
    <row r="668" spans="17:22" x14ac:dyDescent="0.3">
      <c r="Q668" s="5"/>
      <c r="R668" s="5"/>
      <c r="S668" s="5"/>
      <c r="T668" s="5"/>
      <c r="U668" s="92"/>
      <c r="V668" s="5"/>
    </row>
    <row r="669" spans="17:22" x14ac:dyDescent="0.3">
      <c r="Q669" s="5"/>
      <c r="R669" s="5"/>
      <c r="S669" s="5"/>
      <c r="T669" s="5"/>
      <c r="U669" s="92"/>
      <c r="V669" s="5"/>
    </row>
    <row r="670" spans="17:22" x14ac:dyDescent="0.3">
      <c r="Q670" s="5"/>
      <c r="R670" s="5"/>
      <c r="S670" s="5"/>
      <c r="T670" s="5"/>
      <c r="U670" s="92"/>
      <c r="V670" s="5"/>
    </row>
    <row r="671" spans="17:22" x14ac:dyDescent="0.3">
      <c r="Q671" s="5"/>
      <c r="R671" s="5"/>
      <c r="S671" s="5"/>
      <c r="T671" s="5"/>
      <c r="U671" s="92"/>
      <c r="V671" s="5"/>
    </row>
    <row r="672" spans="17:22" x14ac:dyDescent="0.3">
      <c r="Q672" s="5"/>
      <c r="R672" s="5"/>
      <c r="S672" s="5"/>
      <c r="T672" s="5"/>
      <c r="U672" s="92"/>
      <c r="V672" s="5"/>
    </row>
    <row r="673" spans="17:22" x14ac:dyDescent="0.3">
      <c r="Q673" s="5"/>
      <c r="R673" s="5"/>
      <c r="S673" s="5"/>
      <c r="T673" s="5"/>
      <c r="U673" s="92"/>
      <c r="V673" s="5"/>
    </row>
    <row r="674" spans="17:22" x14ac:dyDescent="0.3">
      <c r="Q674" s="5"/>
      <c r="R674" s="5"/>
      <c r="S674" s="5"/>
      <c r="T674" s="5"/>
      <c r="U674" s="92"/>
      <c r="V674" s="5"/>
    </row>
    <row r="675" spans="17:22" x14ac:dyDescent="0.3">
      <c r="Q675" s="5"/>
      <c r="R675" s="5"/>
      <c r="S675" s="5"/>
      <c r="T675" s="5"/>
      <c r="U675" s="92"/>
      <c r="V675" s="5"/>
    </row>
    <row r="676" spans="17:22" x14ac:dyDescent="0.3">
      <c r="Q676" s="5"/>
      <c r="R676" s="5"/>
      <c r="S676" s="5"/>
      <c r="T676" s="5"/>
      <c r="U676" s="92"/>
      <c r="V676" s="5"/>
    </row>
    <row r="677" spans="17:22" x14ac:dyDescent="0.3">
      <c r="Q677" s="5"/>
      <c r="R677" s="5"/>
      <c r="S677" s="5"/>
      <c r="T677" s="5"/>
      <c r="U677" s="92"/>
      <c r="V677" s="5"/>
    </row>
    <row r="678" spans="17:22" x14ac:dyDescent="0.3">
      <c r="Q678" s="5"/>
      <c r="R678" s="5"/>
      <c r="S678" s="5"/>
      <c r="T678" s="5"/>
      <c r="U678" s="92"/>
      <c r="V678" s="5"/>
    </row>
    <row r="679" spans="17:22" x14ac:dyDescent="0.3">
      <c r="Q679" s="5"/>
      <c r="R679" s="5"/>
      <c r="S679" s="5"/>
      <c r="T679" s="5"/>
      <c r="U679" s="92"/>
      <c r="V679" s="5"/>
    </row>
    <row r="680" spans="17:22" x14ac:dyDescent="0.3">
      <c r="Q680" s="5"/>
      <c r="R680" s="5"/>
      <c r="S680" s="5"/>
      <c r="T680" s="5"/>
      <c r="U680" s="92"/>
      <c r="V680" s="5"/>
    </row>
    <row r="681" spans="17:22" x14ac:dyDescent="0.3">
      <c r="Q681" s="5"/>
      <c r="R681" s="5"/>
      <c r="S681" s="5"/>
      <c r="T681" s="5"/>
      <c r="U681" s="92"/>
      <c r="V681" s="5"/>
    </row>
    <row r="682" spans="17:22" x14ac:dyDescent="0.3">
      <c r="Q682" s="5"/>
      <c r="R682" s="5"/>
      <c r="S682" s="5"/>
      <c r="T682" s="5"/>
      <c r="U682" s="92"/>
      <c r="V682" s="5"/>
    </row>
    <row r="683" spans="17:22" x14ac:dyDescent="0.3">
      <c r="Q683" s="5"/>
      <c r="R683" s="5"/>
      <c r="S683" s="5"/>
      <c r="T683" s="5"/>
      <c r="U683" s="92"/>
      <c r="V683" s="5"/>
    </row>
    <row r="684" spans="17:22" x14ac:dyDescent="0.3">
      <c r="Q684" s="5"/>
      <c r="R684" s="5"/>
      <c r="S684" s="5"/>
      <c r="T684" s="5"/>
      <c r="U684" s="92"/>
      <c r="V684" s="5"/>
    </row>
    <row r="685" spans="17:22" x14ac:dyDescent="0.3">
      <c r="Q685" s="5"/>
      <c r="R685" s="5"/>
      <c r="S685" s="5"/>
      <c r="T685" s="5"/>
      <c r="U685" s="92"/>
      <c r="V685" s="5"/>
    </row>
    <row r="686" spans="17:22" x14ac:dyDescent="0.3">
      <c r="Q686" s="5"/>
      <c r="R686" s="5"/>
      <c r="S686" s="5"/>
      <c r="T686" s="5"/>
      <c r="U686" s="92"/>
      <c r="V686" s="5"/>
    </row>
    <row r="687" spans="17:22" x14ac:dyDescent="0.3">
      <c r="Q687" s="5"/>
      <c r="R687" s="5"/>
      <c r="S687" s="5"/>
      <c r="T687" s="5"/>
      <c r="U687" s="92"/>
      <c r="V687" s="5"/>
    </row>
    <row r="688" spans="17:22" x14ac:dyDescent="0.3">
      <c r="Q688" s="5"/>
      <c r="R688" s="5"/>
      <c r="S688" s="5"/>
      <c r="T688" s="5"/>
      <c r="U688" s="92"/>
      <c r="V688" s="5"/>
    </row>
    <row r="689" spans="17:22" x14ac:dyDescent="0.3">
      <c r="Q689" s="5"/>
      <c r="R689" s="5"/>
      <c r="S689" s="5"/>
      <c r="T689" s="5"/>
      <c r="U689" s="92"/>
      <c r="V689" s="5"/>
    </row>
    <row r="690" spans="17:22" x14ac:dyDescent="0.3">
      <c r="Q690" s="5"/>
      <c r="R690" s="5"/>
      <c r="S690" s="5"/>
      <c r="T690" s="5"/>
      <c r="U690" s="92"/>
      <c r="V690" s="5"/>
    </row>
    <row r="691" spans="17:22" x14ac:dyDescent="0.3">
      <c r="Q691" s="5"/>
      <c r="R691" s="5"/>
      <c r="S691" s="5"/>
      <c r="T691" s="5"/>
      <c r="U691" s="92"/>
      <c r="V691" s="5"/>
    </row>
    <row r="692" spans="17:22" x14ac:dyDescent="0.3">
      <c r="Q692" s="5"/>
      <c r="R692" s="5"/>
      <c r="S692" s="5"/>
      <c r="T692" s="5"/>
      <c r="U692" s="92"/>
      <c r="V692" s="5"/>
    </row>
    <row r="693" spans="17:22" x14ac:dyDescent="0.3">
      <c r="Q693" s="5"/>
      <c r="R693" s="5"/>
      <c r="S693" s="5"/>
      <c r="T693" s="5"/>
      <c r="U693" s="92"/>
      <c r="V693" s="5"/>
    </row>
    <row r="694" spans="17:22" x14ac:dyDescent="0.3">
      <c r="Q694" s="5"/>
      <c r="R694" s="5"/>
      <c r="S694" s="5"/>
      <c r="T694" s="5"/>
      <c r="U694" s="92"/>
      <c r="V694" s="5"/>
    </row>
    <row r="695" spans="17:22" x14ac:dyDescent="0.3">
      <c r="Q695" s="5"/>
      <c r="R695" s="5"/>
      <c r="S695" s="5"/>
      <c r="T695" s="5"/>
      <c r="U695" s="92"/>
      <c r="V695" s="5"/>
    </row>
    <row r="696" spans="17:22" x14ac:dyDescent="0.3">
      <c r="Q696" s="5"/>
      <c r="R696" s="5"/>
      <c r="S696" s="5"/>
      <c r="T696" s="5"/>
      <c r="U696" s="92"/>
      <c r="V696" s="5"/>
    </row>
    <row r="697" spans="17:22" x14ac:dyDescent="0.3">
      <c r="Q697" s="5"/>
      <c r="R697" s="5"/>
      <c r="S697" s="5"/>
      <c r="T697" s="5"/>
      <c r="U697" s="92"/>
      <c r="V697" s="5"/>
    </row>
    <row r="698" spans="17:22" x14ac:dyDescent="0.3">
      <c r="Q698" s="5"/>
      <c r="R698" s="5"/>
      <c r="S698" s="5"/>
      <c r="T698" s="5"/>
      <c r="U698" s="92"/>
      <c r="V698" s="5"/>
    </row>
    <row r="699" spans="17:22" x14ac:dyDescent="0.3">
      <c r="Q699" s="5"/>
      <c r="R699" s="5"/>
      <c r="S699" s="5"/>
      <c r="T699" s="5"/>
      <c r="U699" s="92"/>
      <c r="V699" s="5"/>
    </row>
    <row r="700" spans="17:22" x14ac:dyDescent="0.3">
      <c r="Q700" s="5"/>
      <c r="R700" s="5"/>
      <c r="S700" s="5"/>
      <c r="T700" s="5"/>
      <c r="U700" s="92"/>
      <c r="V700" s="5"/>
    </row>
    <row r="701" spans="17:22" x14ac:dyDescent="0.3">
      <c r="Q701" s="5"/>
      <c r="R701" s="5"/>
      <c r="S701" s="5"/>
      <c r="T701" s="5"/>
      <c r="U701" s="92"/>
      <c r="V701" s="5"/>
    </row>
    <row r="702" spans="17:22" x14ac:dyDescent="0.3">
      <c r="Q702" s="5"/>
      <c r="R702" s="5"/>
      <c r="S702" s="5"/>
      <c r="T702" s="5"/>
      <c r="U702" s="92"/>
      <c r="V702" s="5"/>
    </row>
    <row r="703" spans="17:22" x14ac:dyDescent="0.3">
      <c r="Q703" s="5"/>
      <c r="R703" s="5"/>
      <c r="S703" s="5"/>
      <c r="T703" s="5"/>
      <c r="U703" s="92"/>
      <c r="V703" s="5"/>
    </row>
    <row r="704" spans="17:22" x14ac:dyDescent="0.3">
      <c r="Q704" s="5"/>
      <c r="R704" s="5"/>
      <c r="S704" s="5"/>
      <c r="T704" s="5"/>
      <c r="U704" s="92"/>
      <c r="V704" s="5"/>
    </row>
    <row r="705" spans="17:22" x14ac:dyDescent="0.3">
      <c r="Q705" s="5"/>
      <c r="R705" s="5"/>
      <c r="S705" s="5"/>
      <c r="T705" s="5"/>
      <c r="U705" s="92"/>
      <c r="V705" s="5"/>
    </row>
    <row r="706" spans="17:22" x14ac:dyDescent="0.3">
      <c r="Q706" s="5"/>
      <c r="R706" s="5"/>
      <c r="S706" s="5"/>
      <c r="T706" s="5"/>
      <c r="U706" s="92"/>
      <c r="V706" s="5"/>
    </row>
    <row r="707" spans="17:22" x14ac:dyDescent="0.3">
      <c r="Q707" s="5"/>
      <c r="R707" s="5"/>
      <c r="S707" s="5"/>
      <c r="T707" s="5"/>
      <c r="U707" s="92"/>
      <c r="V707" s="5"/>
    </row>
    <row r="708" spans="17:22" x14ac:dyDescent="0.3">
      <c r="Q708" s="5"/>
      <c r="R708" s="5"/>
      <c r="S708" s="5"/>
      <c r="T708" s="5"/>
      <c r="U708" s="92"/>
      <c r="V708" s="5"/>
    </row>
    <row r="709" spans="17:22" x14ac:dyDescent="0.3">
      <c r="Q709" s="5"/>
      <c r="R709" s="5"/>
      <c r="S709" s="5"/>
      <c r="T709" s="5"/>
      <c r="U709" s="92"/>
      <c r="V709" s="5"/>
    </row>
    <row r="710" spans="17:22" x14ac:dyDescent="0.3">
      <c r="Q710" s="5"/>
      <c r="R710" s="5"/>
      <c r="S710" s="5"/>
      <c r="T710" s="5"/>
      <c r="U710" s="92"/>
      <c r="V710" s="5"/>
    </row>
    <row r="711" spans="17:22" x14ac:dyDescent="0.3">
      <c r="Q711" s="5"/>
      <c r="R711" s="5"/>
      <c r="S711" s="5"/>
      <c r="T711" s="5"/>
      <c r="U711" s="92"/>
      <c r="V711" s="5"/>
    </row>
    <row r="712" spans="17:22" x14ac:dyDescent="0.3">
      <c r="Q712" s="5"/>
      <c r="R712" s="5"/>
      <c r="S712" s="5"/>
      <c r="T712" s="5"/>
      <c r="U712" s="92"/>
      <c r="V712" s="5"/>
    </row>
    <row r="713" spans="17:22" x14ac:dyDescent="0.3">
      <c r="Q713" s="5"/>
      <c r="R713" s="5"/>
      <c r="S713" s="5"/>
      <c r="T713" s="5"/>
      <c r="U713" s="92"/>
      <c r="V713" s="5"/>
    </row>
    <row r="714" spans="17:22" x14ac:dyDescent="0.3">
      <c r="Q714" s="5"/>
      <c r="R714" s="5"/>
      <c r="S714" s="5"/>
      <c r="T714" s="5"/>
      <c r="U714" s="92"/>
      <c r="V714" s="5"/>
    </row>
    <row r="715" spans="17:22" x14ac:dyDescent="0.3">
      <c r="Q715" s="5"/>
      <c r="R715" s="5"/>
      <c r="S715" s="5"/>
      <c r="T715" s="5"/>
      <c r="U715" s="92"/>
      <c r="V715" s="5"/>
    </row>
    <row r="716" spans="17:22" x14ac:dyDescent="0.3">
      <c r="Q716" s="5"/>
      <c r="R716" s="5"/>
      <c r="S716" s="5"/>
      <c r="T716" s="5"/>
      <c r="U716" s="92"/>
      <c r="V716" s="5"/>
    </row>
    <row r="717" spans="17:22" x14ac:dyDescent="0.3">
      <c r="Q717" s="5"/>
      <c r="R717" s="5"/>
      <c r="S717" s="5"/>
      <c r="T717" s="5"/>
      <c r="U717" s="92"/>
      <c r="V717" s="5"/>
    </row>
    <row r="718" spans="17:22" x14ac:dyDescent="0.3">
      <c r="Q718" s="5"/>
      <c r="R718" s="5"/>
      <c r="S718" s="5"/>
      <c r="T718" s="5"/>
      <c r="U718" s="92"/>
      <c r="V718" s="5"/>
    </row>
    <row r="719" spans="17:22" x14ac:dyDescent="0.3">
      <c r="Q719" s="5"/>
      <c r="R719" s="5"/>
      <c r="S719" s="5"/>
      <c r="T719" s="5"/>
      <c r="U719" s="92"/>
      <c r="V719" s="5"/>
    </row>
    <row r="720" spans="17:22" x14ac:dyDescent="0.3">
      <c r="Q720" s="5"/>
      <c r="R720" s="5"/>
      <c r="S720" s="5"/>
      <c r="T720" s="5"/>
      <c r="U720" s="92"/>
      <c r="V720" s="5"/>
    </row>
    <row r="721" spans="17:22" x14ac:dyDescent="0.3">
      <c r="Q721" s="5"/>
      <c r="R721" s="5"/>
      <c r="S721" s="5"/>
      <c r="T721" s="5"/>
      <c r="U721" s="92"/>
      <c r="V721" s="5"/>
    </row>
    <row r="722" spans="17:22" x14ac:dyDescent="0.3">
      <c r="Q722" s="5"/>
      <c r="R722" s="5"/>
      <c r="S722" s="5"/>
      <c r="T722" s="5"/>
      <c r="U722" s="92"/>
      <c r="V722" s="5"/>
    </row>
    <row r="723" spans="17:22" x14ac:dyDescent="0.3">
      <c r="Q723" s="5"/>
      <c r="R723" s="5"/>
      <c r="S723" s="5"/>
      <c r="T723" s="5"/>
      <c r="U723" s="92"/>
      <c r="V723" s="5"/>
    </row>
    <row r="724" spans="17:22" x14ac:dyDescent="0.3">
      <c r="Q724" s="5"/>
      <c r="R724" s="5"/>
      <c r="S724" s="5"/>
      <c r="T724" s="5"/>
      <c r="U724" s="92"/>
      <c r="V724" s="5"/>
    </row>
    <row r="725" spans="17:22" x14ac:dyDescent="0.3">
      <c r="Q725" s="5"/>
      <c r="R725" s="5"/>
      <c r="S725" s="5"/>
      <c r="T725" s="5"/>
      <c r="U725" s="92"/>
      <c r="V725" s="5"/>
    </row>
    <row r="726" spans="17:22" x14ac:dyDescent="0.3">
      <c r="Q726" s="5"/>
      <c r="R726" s="5"/>
      <c r="S726" s="5"/>
      <c r="T726" s="5"/>
      <c r="U726" s="92"/>
      <c r="V726" s="5"/>
    </row>
    <row r="727" spans="17:22" x14ac:dyDescent="0.3">
      <c r="Q727" s="5"/>
      <c r="R727" s="5"/>
      <c r="S727" s="5"/>
      <c r="T727" s="5"/>
      <c r="U727" s="92"/>
      <c r="V727" s="5"/>
    </row>
    <row r="728" spans="17:22" x14ac:dyDescent="0.3">
      <c r="Q728" s="5"/>
      <c r="R728" s="5"/>
      <c r="S728" s="5"/>
      <c r="T728" s="5"/>
      <c r="U728" s="92"/>
      <c r="V728" s="5"/>
    </row>
    <row r="729" spans="17:22" x14ac:dyDescent="0.3">
      <c r="Q729" s="5"/>
      <c r="R729" s="5"/>
      <c r="S729" s="5"/>
      <c r="T729" s="5"/>
      <c r="U729" s="92"/>
      <c r="V729" s="5"/>
    </row>
    <row r="730" spans="17:22" x14ac:dyDescent="0.3">
      <c r="Q730" s="5"/>
      <c r="R730" s="5"/>
      <c r="S730" s="5"/>
      <c r="T730" s="5"/>
      <c r="U730" s="92"/>
      <c r="V730" s="5"/>
    </row>
    <row r="731" spans="17:22" x14ac:dyDescent="0.3">
      <c r="Q731" s="5"/>
      <c r="R731" s="5"/>
      <c r="S731" s="5"/>
      <c r="T731" s="5"/>
      <c r="U731" s="92"/>
      <c r="V731" s="5"/>
    </row>
    <row r="732" spans="17:22" x14ac:dyDescent="0.3">
      <c r="Q732" s="5"/>
      <c r="R732" s="5"/>
      <c r="S732" s="5"/>
      <c r="T732" s="5"/>
      <c r="U732" s="92"/>
      <c r="V732" s="5"/>
    </row>
    <row r="733" spans="17:22" x14ac:dyDescent="0.3">
      <c r="Q733" s="5"/>
      <c r="R733" s="5"/>
      <c r="S733" s="5"/>
      <c r="T733" s="5"/>
      <c r="U733" s="92"/>
      <c r="V733" s="5"/>
    </row>
    <row r="734" spans="17:22" x14ac:dyDescent="0.3">
      <c r="Q734" s="5"/>
      <c r="R734" s="5"/>
      <c r="S734" s="5"/>
      <c r="T734" s="5"/>
      <c r="U734" s="92"/>
      <c r="V734" s="5"/>
    </row>
    <row r="735" spans="17:22" x14ac:dyDescent="0.3">
      <c r="Q735" s="5"/>
      <c r="R735" s="5"/>
      <c r="S735" s="5"/>
      <c r="T735" s="5"/>
      <c r="U735" s="92"/>
      <c r="V735" s="5"/>
    </row>
    <row r="736" spans="17:22" x14ac:dyDescent="0.3">
      <c r="Q736" s="5"/>
      <c r="R736" s="5"/>
      <c r="S736" s="5"/>
      <c r="T736" s="5"/>
      <c r="U736" s="92"/>
      <c r="V736" s="5"/>
    </row>
    <row r="737" spans="17:22" x14ac:dyDescent="0.3">
      <c r="Q737" s="5"/>
      <c r="R737" s="5"/>
      <c r="S737" s="5"/>
      <c r="T737" s="5"/>
      <c r="U737" s="92"/>
      <c r="V737" s="5"/>
    </row>
    <row r="738" spans="17:22" x14ac:dyDescent="0.3">
      <c r="Q738" s="5"/>
      <c r="R738" s="5"/>
      <c r="S738" s="5"/>
      <c r="T738" s="5"/>
      <c r="U738" s="92"/>
      <c r="V738" s="5"/>
    </row>
    <row r="739" spans="17:22" x14ac:dyDescent="0.3">
      <c r="Q739" s="5"/>
      <c r="R739" s="5"/>
      <c r="S739" s="5"/>
      <c r="T739" s="5"/>
      <c r="U739" s="92"/>
      <c r="V739" s="5"/>
    </row>
    <row r="740" spans="17:22" x14ac:dyDescent="0.3">
      <c r="Q740" s="5"/>
      <c r="R740" s="5"/>
      <c r="S740" s="5"/>
      <c r="T740" s="5"/>
      <c r="U740" s="92"/>
      <c r="V740" s="5"/>
    </row>
    <row r="741" spans="17:22" x14ac:dyDescent="0.3">
      <c r="Q741" s="5"/>
      <c r="R741" s="5"/>
      <c r="S741" s="5"/>
      <c r="T741" s="5"/>
      <c r="U741" s="92"/>
      <c r="V741" s="5"/>
    </row>
    <row r="742" spans="17:22" x14ac:dyDescent="0.3">
      <c r="Q742" s="5"/>
      <c r="R742" s="5"/>
      <c r="S742" s="5"/>
      <c r="T742" s="5"/>
      <c r="U742" s="92"/>
      <c r="V742" s="5"/>
    </row>
    <row r="743" spans="17:22" x14ac:dyDescent="0.3">
      <c r="Q743" s="5"/>
      <c r="R743" s="5"/>
      <c r="S743" s="5"/>
      <c r="T743" s="5"/>
      <c r="U743" s="92"/>
      <c r="V743" s="5"/>
    </row>
    <row r="744" spans="17:22" x14ac:dyDescent="0.3">
      <c r="Q744" s="5"/>
      <c r="R744" s="5"/>
      <c r="S744" s="5"/>
      <c r="T744" s="5"/>
      <c r="U744" s="92"/>
      <c r="V744" s="5"/>
    </row>
    <row r="745" spans="17:22" x14ac:dyDescent="0.3">
      <c r="Q745" s="5"/>
      <c r="R745" s="5"/>
      <c r="S745" s="5"/>
      <c r="T745" s="5"/>
      <c r="U745" s="92"/>
      <c r="V745" s="5"/>
    </row>
    <row r="746" spans="17:22" x14ac:dyDescent="0.3">
      <c r="Q746" s="5"/>
      <c r="R746" s="5"/>
      <c r="S746" s="5"/>
      <c r="T746" s="5"/>
      <c r="U746" s="92"/>
      <c r="V746" s="5"/>
    </row>
    <row r="747" spans="17:22" x14ac:dyDescent="0.3">
      <c r="Q747" s="5"/>
      <c r="R747" s="5"/>
      <c r="S747" s="5"/>
      <c r="T747" s="5"/>
      <c r="U747" s="92"/>
      <c r="V747" s="5"/>
    </row>
    <row r="748" spans="17:22" x14ac:dyDescent="0.3">
      <c r="Q748" s="5"/>
      <c r="R748" s="5"/>
      <c r="S748" s="5"/>
      <c r="T748" s="5"/>
      <c r="U748" s="92"/>
      <c r="V748" s="5"/>
    </row>
    <row r="749" spans="17:22" x14ac:dyDescent="0.3">
      <c r="Q749" s="5"/>
      <c r="R749" s="5"/>
      <c r="S749" s="5"/>
      <c r="T749" s="5"/>
      <c r="U749" s="92"/>
      <c r="V749" s="5"/>
    </row>
    <row r="750" spans="17:22" x14ac:dyDescent="0.3">
      <c r="Q750" s="5"/>
      <c r="R750" s="5"/>
      <c r="S750" s="5"/>
      <c r="T750" s="5"/>
      <c r="U750" s="92"/>
      <c r="V750" s="5"/>
    </row>
    <row r="751" spans="17:22" x14ac:dyDescent="0.3">
      <c r="Q751" s="5"/>
      <c r="R751" s="5"/>
      <c r="S751" s="5"/>
      <c r="T751" s="5"/>
      <c r="U751" s="92"/>
      <c r="V751" s="5"/>
    </row>
    <row r="752" spans="17:22" x14ac:dyDescent="0.3">
      <c r="Q752" s="5"/>
      <c r="R752" s="5"/>
      <c r="S752" s="5"/>
      <c r="T752" s="5"/>
      <c r="U752" s="92"/>
      <c r="V752" s="5"/>
    </row>
    <row r="753" spans="17:22" x14ac:dyDescent="0.3">
      <c r="Q753" s="5"/>
      <c r="R753" s="5"/>
      <c r="S753" s="5"/>
      <c r="T753" s="5"/>
      <c r="U753" s="92"/>
      <c r="V753" s="5"/>
    </row>
    <row r="754" spans="17:22" x14ac:dyDescent="0.3">
      <c r="Q754" s="5"/>
      <c r="R754" s="5"/>
      <c r="S754" s="5"/>
      <c r="T754" s="5"/>
      <c r="U754" s="92"/>
      <c r="V754" s="5"/>
    </row>
    <row r="755" spans="17:22" x14ac:dyDescent="0.3">
      <c r="Q755" s="5"/>
      <c r="R755" s="5"/>
      <c r="S755" s="5"/>
      <c r="T755" s="5"/>
      <c r="U755" s="92"/>
      <c r="V755" s="5"/>
    </row>
    <row r="756" spans="17:22" x14ac:dyDescent="0.3">
      <c r="Q756" s="5"/>
      <c r="R756" s="5"/>
      <c r="S756" s="5"/>
      <c r="T756" s="5"/>
      <c r="U756" s="92"/>
      <c r="V756" s="5"/>
    </row>
    <row r="757" spans="17:22" x14ac:dyDescent="0.3">
      <c r="Q757" s="5"/>
      <c r="R757" s="5"/>
      <c r="S757" s="5"/>
      <c r="T757" s="5"/>
      <c r="U757" s="92"/>
      <c r="V757" s="5"/>
    </row>
    <row r="758" spans="17:22" x14ac:dyDescent="0.3">
      <c r="Q758" s="5"/>
      <c r="R758" s="5"/>
      <c r="S758" s="5"/>
      <c r="T758" s="5"/>
      <c r="U758" s="92"/>
      <c r="V758" s="5"/>
    </row>
    <row r="759" spans="17:22" x14ac:dyDescent="0.3">
      <c r="Q759" s="5"/>
      <c r="R759" s="5"/>
      <c r="S759" s="5"/>
      <c r="T759" s="5"/>
      <c r="U759" s="92"/>
      <c r="V759" s="5"/>
    </row>
    <row r="760" spans="17:22" x14ac:dyDescent="0.3">
      <c r="Q760" s="5"/>
      <c r="R760" s="5"/>
      <c r="S760" s="5"/>
      <c r="T760" s="5"/>
      <c r="U760" s="92"/>
      <c r="V760" s="5"/>
    </row>
    <row r="761" spans="17:22" x14ac:dyDescent="0.3">
      <c r="Q761" s="5"/>
      <c r="R761" s="5"/>
      <c r="S761" s="5"/>
      <c r="T761" s="5"/>
      <c r="U761" s="92"/>
      <c r="V761" s="5"/>
    </row>
    <row r="762" spans="17:22" x14ac:dyDescent="0.3">
      <c r="Q762" s="5"/>
      <c r="R762" s="5"/>
      <c r="S762" s="5"/>
      <c r="T762" s="5"/>
      <c r="U762" s="92"/>
      <c r="V762" s="5"/>
    </row>
    <row r="763" spans="17:22" x14ac:dyDescent="0.3">
      <c r="Q763" s="5"/>
      <c r="R763" s="5"/>
      <c r="S763" s="5"/>
      <c r="T763" s="5"/>
      <c r="U763" s="92"/>
      <c r="V763" s="5"/>
    </row>
    <row r="764" spans="17:22" x14ac:dyDescent="0.3">
      <c r="Q764" s="5"/>
      <c r="R764" s="5"/>
      <c r="S764" s="5"/>
      <c r="T764" s="5"/>
      <c r="U764" s="92"/>
      <c r="V764" s="5"/>
    </row>
    <row r="765" spans="17:22" x14ac:dyDescent="0.3">
      <c r="Q765" s="5"/>
      <c r="R765" s="5"/>
      <c r="S765" s="5"/>
      <c r="T765" s="5"/>
      <c r="U765" s="92"/>
      <c r="V765" s="5"/>
    </row>
    <row r="766" spans="17:22" x14ac:dyDescent="0.3">
      <c r="Q766" s="5"/>
      <c r="R766" s="5"/>
      <c r="S766" s="5"/>
      <c r="T766" s="5"/>
      <c r="U766" s="92"/>
      <c r="V766" s="5"/>
    </row>
    <row r="767" spans="17:22" x14ac:dyDescent="0.3">
      <c r="Q767" s="5"/>
      <c r="R767" s="5"/>
      <c r="S767" s="5"/>
      <c r="T767" s="5"/>
      <c r="U767" s="92"/>
      <c r="V767" s="5"/>
    </row>
    <row r="768" spans="17:22" x14ac:dyDescent="0.3">
      <c r="Q768" s="5"/>
      <c r="R768" s="5"/>
      <c r="S768" s="5"/>
      <c r="T768" s="5"/>
      <c r="U768" s="92"/>
      <c r="V768" s="5"/>
    </row>
    <row r="769" spans="17:22" x14ac:dyDescent="0.3">
      <c r="Q769" s="5"/>
      <c r="R769" s="5"/>
      <c r="S769" s="5"/>
      <c r="T769" s="5"/>
      <c r="U769" s="92"/>
      <c r="V769" s="5"/>
    </row>
    <row r="770" spans="17:22" x14ac:dyDescent="0.3">
      <c r="Q770" s="5"/>
      <c r="R770" s="5"/>
      <c r="S770" s="5"/>
      <c r="T770" s="5"/>
      <c r="U770" s="92"/>
      <c r="V770" s="5"/>
    </row>
    <row r="771" spans="17:22" x14ac:dyDescent="0.3">
      <c r="Q771" s="5"/>
      <c r="R771" s="5"/>
      <c r="S771" s="5"/>
      <c r="T771" s="5"/>
      <c r="U771" s="92"/>
      <c r="V771" s="5"/>
    </row>
    <row r="772" spans="17:22" x14ac:dyDescent="0.3">
      <c r="Q772" s="5"/>
      <c r="R772" s="5"/>
      <c r="S772" s="5"/>
      <c r="T772" s="5"/>
      <c r="U772" s="92"/>
      <c r="V772" s="5"/>
    </row>
    <row r="773" spans="17:22" x14ac:dyDescent="0.3">
      <c r="Q773" s="5"/>
      <c r="R773" s="5"/>
      <c r="S773" s="5"/>
      <c r="T773" s="5"/>
      <c r="U773" s="92"/>
      <c r="V773" s="5"/>
    </row>
    <row r="774" spans="17:22" x14ac:dyDescent="0.3">
      <c r="Q774" s="5"/>
      <c r="R774" s="5"/>
      <c r="S774" s="5"/>
      <c r="T774" s="5"/>
      <c r="U774" s="92"/>
      <c r="V774" s="5"/>
    </row>
    <row r="775" spans="17:22" x14ac:dyDescent="0.3">
      <c r="Q775" s="5"/>
      <c r="R775" s="5"/>
      <c r="S775" s="5"/>
      <c r="T775" s="5"/>
      <c r="U775" s="92"/>
      <c r="V775" s="5"/>
    </row>
    <row r="776" spans="17:22" x14ac:dyDescent="0.3">
      <c r="Q776" s="5"/>
      <c r="R776" s="5"/>
      <c r="S776" s="5"/>
      <c r="T776" s="5"/>
      <c r="U776" s="92"/>
      <c r="V776" s="5"/>
    </row>
    <row r="777" spans="17:22" x14ac:dyDescent="0.3">
      <c r="Q777" s="5"/>
      <c r="R777" s="5"/>
      <c r="S777" s="5"/>
      <c r="T777" s="5"/>
      <c r="U777" s="92"/>
      <c r="V777" s="5"/>
    </row>
    <row r="778" spans="17:22" x14ac:dyDescent="0.3">
      <c r="Q778" s="5"/>
      <c r="R778" s="5"/>
      <c r="S778" s="5"/>
      <c r="T778" s="5"/>
      <c r="U778" s="92"/>
      <c r="V778" s="5"/>
    </row>
    <row r="779" spans="17:22" x14ac:dyDescent="0.3">
      <c r="Q779" s="5"/>
      <c r="R779" s="5"/>
      <c r="S779" s="5"/>
      <c r="T779" s="5"/>
      <c r="U779" s="92"/>
      <c r="V779" s="5"/>
    </row>
    <row r="780" spans="17:22" x14ac:dyDescent="0.3">
      <c r="Q780" s="5"/>
      <c r="R780" s="5"/>
      <c r="S780" s="5"/>
      <c r="T780" s="5"/>
      <c r="U780" s="92"/>
      <c r="V780" s="5"/>
    </row>
    <row r="781" spans="17:22" x14ac:dyDescent="0.3">
      <c r="Q781" s="5"/>
      <c r="R781" s="5"/>
      <c r="S781" s="5"/>
      <c r="T781" s="5"/>
      <c r="U781" s="92"/>
      <c r="V781" s="5"/>
    </row>
    <row r="782" spans="17:22" x14ac:dyDescent="0.3">
      <c r="Q782" s="5"/>
      <c r="R782" s="5"/>
      <c r="S782" s="5"/>
      <c r="T782" s="5"/>
      <c r="U782" s="92"/>
      <c r="V782" s="5"/>
    </row>
    <row r="783" spans="17:22" x14ac:dyDescent="0.3">
      <c r="Q783" s="5"/>
      <c r="R783" s="5"/>
      <c r="S783" s="5"/>
      <c r="T783" s="5"/>
      <c r="U783" s="92"/>
      <c r="V783" s="5"/>
    </row>
    <row r="784" spans="17:22" x14ac:dyDescent="0.3">
      <c r="Q784" s="5"/>
      <c r="R784" s="5"/>
      <c r="S784" s="5"/>
      <c r="T784" s="5"/>
      <c r="U784" s="92"/>
      <c r="V784" s="5"/>
    </row>
    <row r="785" spans="17:22" x14ac:dyDescent="0.3">
      <c r="Q785" s="5"/>
      <c r="R785" s="5"/>
      <c r="S785" s="5"/>
      <c r="T785" s="5"/>
      <c r="U785" s="92"/>
      <c r="V785" s="5"/>
    </row>
    <row r="786" spans="17:22" x14ac:dyDescent="0.3">
      <c r="Q786" s="5"/>
      <c r="R786" s="5"/>
      <c r="S786" s="5"/>
      <c r="T786" s="5"/>
      <c r="U786" s="92"/>
      <c r="V786" s="5"/>
    </row>
    <row r="787" spans="17:22" x14ac:dyDescent="0.3">
      <c r="Q787" s="5"/>
      <c r="R787" s="5"/>
      <c r="S787" s="5"/>
      <c r="T787" s="5"/>
      <c r="U787" s="92"/>
      <c r="V787" s="5"/>
    </row>
    <row r="788" spans="17:22" x14ac:dyDescent="0.3">
      <c r="Q788" s="5"/>
      <c r="R788" s="5"/>
      <c r="S788" s="5"/>
      <c r="T788" s="5"/>
      <c r="U788" s="92"/>
      <c r="V788" s="5"/>
    </row>
    <row r="789" spans="17:22" x14ac:dyDescent="0.3">
      <c r="Q789" s="5"/>
      <c r="R789" s="5"/>
      <c r="S789" s="5"/>
      <c r="T789" s="5"/>
      <c r="U789" s="92"/>
      <c r="V789" s="5"/>
    </row>
    <row r="790" spans="17:22" x14ac:dyDescent="0.3">
      <c r="Q790" s="5"/>
      <c r="R790" s="5"/>
      <c r="S790" s="5"/>
      <c r="T790" s="5"/>
      <c r="U790" s="92"/>
      <c r="V790" s="5"/>
    </row>
    <row r="791" spans="17:22" x14ac:dyDescent="0.3">
      <c r="Q791" s="5"/>
      <c r="R791" s="5"/>
      <c r="S791" s="5"/>
      <c r="T791" s="5"/>
      <c r="U791" s="92"/>
      <c r="V791" s="5"/>
    </row>
    <row r="792" spans="17:22" x14ac:dyDescent="0.3">
      <c r="Q792" s="5"/>
      <c r="R792" s="5"/>
      <c r="S792" s="5"/>
      <c r="T792" s="5"/>
      <c r="U792" s="92"/>
      <c r="V792" s="5"/>
    </row>
    <row r="793" spans="17:22" x14ac:dyDescent="0.3">
      <c r="Q793" s="5"/>
      <c r="R793" s="5"/>
      <c r="S793" s="5"/>
      <c r="T793" s="5"/>
      <c r="U793" s="92"/>
      <c r="V793" s="5"/>
    </row>
    <row r="794" spans="17:22" x14ac:dyDescent="0.3">
      <c r="Q794" s="5"/>
      <c r="R794" s="5"/>
      <c r="S794" s="5"/>
      <c r="T794" s="5"/>
      <c r="U794" s="92"/>
      <c r="V794" s="5"/>
    </row>
    <row r="795" spans="17:22" x14ac:dyDescent="0.3">
      <c r="Q795" s="5"/>
      <c r="R795" s="5"/>
      <c r="S795" s="5"/>
      <c r="T795" s="5"/>
      <c r="U795" s="92"/>
      <c r="V795" s="5"/>
    </row>
    <row r="796" spans="17:22" x14ac:dyDescent="0.3">
      <c r="Q796" s="5"/>
      <c r="R796" s="5"/>
      <c r="S796" s="5"/>
      <c r="T796" s="5"/>
      <c r="U796" s="92"/>
      <c r="V796" s="5"/>
    </row>
    <row r="797" spans="17:22" x14ac:dyDescent="0.3">
      <c r="Q797" s="5"/>
      <c r="R797" s="5"/>
      <c r="S797" s="5"/>
      <c r="T797" s="5"/>
      <c r="U797" s="92"/>
      <c r="V797" s="5"/>
    </row>
    <row r="798" spans="17:22" x14ac:dyDescent="0.3">
      <c r="Q798" s="5"/>
      <c r="R798" s="5"/>
      <c r="S798" s="5"/>
      <c r="T798" s="5"/>
      <c r="U798" s="92"/>
      <c r="V798" s="5"/>
    </row>
    <row r="799" spans="17:22" x14ac:dyDescent="0.3">
      <c r="Q799" s="5"/>
      <c r="R799" s="5"/>
      <c r="S799" s="5"/>
      <c r="T799" s="5"/>
      <c r="U799" s="92"/>
      <c r="V799" s="5"/>
    </row>
    <row r="800" spans="17:22" x14ac:dyDescent="0.3">
      <c r="Q800" s="5"/>
      <c r="R800" s="5"/>
      <c r="S800" s="5"/>
      <c r="T800" s="5"/>
      <c r="U800" s="92"/>
      <c r="V800" s="5"/>
    </row>
    <row r="801" spans="17:22" x14ac:dyDescent="0.3">
      <c r="Q801" s="5"/>
      <c r="R801" s="5"/>
      <c r="S801" s="5"/>
      <c r="T801" s="5"/>
      <c r="U801" s="92"/>
      <c r="V801" s="5"/>
    </row>
    <row r="802" spans="17:22" x14ac:dyDescent="0.3">
      <c r="Q802" s="5"/>
      <c r="R802" s="5"/>
      <c r="S802" s="5"/>
      <c r="T802" s="5"/>
      <c r="U802" s="92"/>
      <c r="V802" s="5"/>
    </row>
    <row r="803" spans="17:22" x14ac:dyDescent="0.3">
      <c r="Q803" s="5"/>
      <c r="R803" s="5"/>
      <c r="S803" s="5"/>
      <c r="T803" s="5"/>
      <c r="U803" s="92"/>
      <c r="V803" s="5"/>
    </row>
    <row r="804" spans="17:22" x14ac:dyDescent="0.3">
      <c r="Q804" s="5"/>
      <c r="R804" s="5"/>
      <c r="S804" s="5"/>
      <c r="T804" s="5"/>
      <c r="U804" s="92"/>
      <c r="V804" s="5"/>
    </row>
    <row r="805" spans="17:22" x14ac:dyDescent="0.3">
      <c r="Q805" s="5"/>
      <c r="R805" s="5"/>
      <c r="S805" s="5"/>
      <c r="T805" s="5"/>
      <c r="U805" s="92"/>
      <c r="V805" s="5"/>
    </row>
    <row r="806" spans="17:22" x14ac:dyDescent="0.3">
      <c r="Q806" s="5"/>
      <c r="R806" s="5"/>
      <c r="S806" s="5"/>
      <c r="T806" s="5"/>
      <c r="U806" s="92"/>
      <c r="V806" s="5"/>
    </row>
    <row r="807" spans="17:22" x14ac:dyDescent="0.3">
      <c r="Q807" s="5"/>
      <c r="R807" s="5"/>
      <c r="S807" s="5"/>
      <c r="T807" s="5"/>
      <c r="U807" s="92"/>
      <c r="V807" s="5"/>
    </row>
    <row r="808" spans="17:22" x14ac:dyDescent="0.3">
      <c r="Q808" s="5"/>
      <c r="R808" s="5"/>
      <c r="S808" s="5"/>
      <c r="T808" s="5"/>
      <c r="U808" s="92"/>
      <c r="V808" s="5"/>
    </row>
    <row r="809" spans="17:22" x14ac:dyDescent="0.3">
      <c r="Q809" s="5"/>
      <c r="R809" s="5"/>
      <c r="S809" s="5"/>
      <c r="T809" s="5"/>
      <c r="U809" s="92"/>
      <c r="V809" s="5"/>
    </row>
    <row r="810" spans="17:22" x14ac:dyDescent="0.3">
      <c r="Q810" s="5"/>
      <c r="R810" s="5"/>
      <c r="S810" s="5"/>
      <c r="T810" s="5"/>
      <c r="U810" s="92"/>
      <c r="V810" s="5"/>
    </row>
    <row r="811" spans="17:22" x14ac:dyDescent="0.3">
      <c r="Q811" s="5"/>
      <c r="R811" s="5"/>
      <c r="S811" s="5"/>
      <c r="T811" s="5"/>
      <c r="U811" s="92"/>
      <c r="V811" s="5"/>
    </row>
    <row r="812" spans="17:22" x14ac:dyDescent="0.3">
      <c r="Q812" s="5"/>
      <c r="R812" s="5"/>
      <c r="S812" s="5"/>
      <c r="T812" s="5"/>
      <c r="U812" s="92"/>
      <c r="V812" s="5"/>
    </row>
    <row r="813" spans="17:22" x14ac:dyDescent="0.3">
      <c r="Q813" s="5"/>
      <c r="R813" s="5"/>
      <c r="S813" s="5"/>
      <c r="T813" s="5"/>
      <c r="U813" s="92"/>
      <c r="V813" s="5"/>
    </row>
    <row r="814" spans="17:22" x14ac:dyDescent="0.3">
      <c r="Q814" s="5"/>
      <c r="R814" s="5"/>
      <c r="S814" s="5"/>
      <c r="T814" s="5"/>
      <c r="U814" s="92"/>
      <c r="V814" s="5"/>
    </row>
    <row r="815" spans="17:22" x14ac:dyDescent="0.3">
      <c r="Q815" s="5"/>
      <c r="R815" s="5"/>
      <c r="S815" s="5"/>
      <c r="T815" s="5"/>
      <c r="U815" s="92"/>
      <c r="V815" s="5"/>
    </row>
    <row r="816" spans="17:22" x14ac:dyDescent="0.3">
      <c r="Q816" s="5"/>
      <c r="R816" s="5"/>
      <c r="S816" s="5"/>
      <c r="T816" s="5"/>
      <c r="U816" s="92"/>
      <c r="V816" s="5"/>
    </row>
    <row r="817" spans="17:22" x14ac:dyDescent="0.3">
      <c r="Q817" s="5"/>
      <c r="R817" s="5"/>
      <c r="S817" s="5"/>
      <c r="T817" s="5"/>
      <c r="U817" s="92"/>
      <c r="V817" s="5"/>
    </row>
    <row r="818" spans="17:22" x14ac:dyDescent="0.3">
      <c r="Q818" s="5"/>
      <c r="R818" s="5"/>
      <c r="S818" s="5"/>
      <c r="T818" s="5"/>
      <c r="U818" s="92"/>
      <c r="V818" s="5"/>
    </row>
    <row r="819" spans="17:22" x14ac:dyDescent="0.3">
      <c r="Q819" s="5"/>
      <c r="R819" s="5"/>
      <c r="S819" s="5"/>
      <c r="T819" s="5"/>
      <c r="U819" s="92"/>
      <c r="V819" s="5"/>
    </row>
    <row r="820" spans="17:22" x14ac:dyDescent="0.3">
      <c r="Q820" s="5"/>
      <c r="R820" s="5"/>
      <c r="S820" s="5"/>
      <c r="T820" s="5"/>
      <c r="U820" s="92"/>
      <c r="V820" s="5"/>
    </row>
    <row r="821" spans="17:22" x14ac:dyDescent="0.3">
      <c r="Q821" s="5"/>
      <c r="R821" s="5"/>
      <c r="S821" s="5"/>
      <c r="T821" s="5"/>
      <c r="U821" s="92"/>
      <c r="V821" s="5"/>
    </row>
    <row r="822" spans="17:22" x14ac:dyDescent="0.3">
      <c r="Q822" s="5"/>
      <c r="R822" s="5"/>
      <c r="S822" s="5"/>
      <c r="T822" s="5"/>
      <c r="U822" s="92"/>
      <c r="V822" s="5"/>
    </row>
    <row r="823" spans="17:22" x14ac:dyDescent="0.3">
      <c r="Q823" s="5"/>
      <c r="R823" s="5"/>
      <c r="S823" s="5"/>
      <c r="T823" s="5"/>
      <c r="U823" s="92"/>
      <c r="V823" s="5"/>
    </row>
    <row r="824" spans="17:22" x14ac:dyDescent="0.3">
      <c r="Q824" s="5"/>
      <c r="R824" s="5"/>
      <c r="S824" s="5"/>
      <c r="T824" s="5"/>
      <c r="U824" s="92"/>
      <c r="V824" s="5"/>
    </row>
    <row r="825" spans="17:22" x14ac:dyDescent="0.3">
      <c r="Q825" s="5"/>
      <c r="R825" s="5"/>
      <c r="S825" s="5"/>
      <c r="T825" s="5"/>
      <c r="U825" s="92"/>
      <c r="V825" s="5"/>
    </row>
    <row r="826" spans="17:22" x14ac:dyDescent="0.3">
      <c r="Q826" s="5"/>
      <c r="R826" s="5"/>
      <c r="S826" s="5"/>
      <c r="T826" s="5"/>
      <c r="U826" s="92"/>
      <c r="V826" s="5"/>
    </row>
    <row r="827" spans="17:22" x14ac:dyDescent="0.3">
      <c r="Q827" s="5"/>
      <c r="R827" s="5"/>
      <c r="S827" s="5"/>
      <c r="T827" s="5"/>
      <c r="U827" s="92"/>
      <c r="V827" s="5"/>
    </row>
    <row r="828" spans="17:22" x14ac:dyDescent="0.3">
      <c r="Q828" s="5"/>
      <c r="R828" s="5"/>
      <c r="S828" s="5"/>
      <c r="T828" s="5"/>
      <c r="U828" s="92"/>
      <c r="V828" s="5"/>
    </row>
    <row r="829" spans="17:22" x14ac:dyDescent="0.3">
      <c r="Q829" s="5"/>
      <c r="R829" s="5"/>
      <c r="S829" s="5"/>
      <c r="T829" s="5"/>
      <c r="U829" s="92"/>
      <c r="V829" s="5"/>
    </row>
    <row r="830" spans="17:22" x14ac:dyDescent="0.3">
      <c r="Q830" s="5"/>
      <c r="R830" s="5"/>
      <c r="S830" s="5"/>
      <c r="T830" s="5"/>
      <c r="U830" s="92"/>
      <c r="V830" s="5"/>
    </row>
    <row r="831" spans="17:22" x14ac:dyDescent="0.3">
      <c r="Q831" s="5"/>
      <c r="R831" s="5"/>
      <c r="S831" s="5"/>
      <c r="T831" s="5"/>
      <c r="U831" s="92"/>
      <c r="V831" s="5"/>
    </row>
    <row r="832" spans="17:22" x14ac:dyDescent="0.3">
      <c r="Q832" s="5"/>
      <c r="R832" s="5"/>
      <c r="S832" s="5"/>
      <c r="T832" s="5"/>
      <c r="U832" s="92"/>
      <c r="V832" s="5"/>
    </row>
    <row r="833" spans="17:22" x14ac:dyDescent="0.3">
      <c r="Q833" s="5"/>
      <c r="R833" s="5"/>
      <c r="S833" s="5"/>
      <c r="T833" s="5"/>
      <c r="U833" s="92"/>
      <c r="V833" s="5"/>
    </row>
    <row r="834" spans="17:22" x14ac:dyDescent="0.3">
      <c r="Q834" s="5"/>
      <c r="R834" s="5"/>
      <c r="S834" s="5"/>
      <c r="T834" s="5"/>
      <c r="U834" s="92"/>
      <c r="V834" s="5"/>
    </row>
    <row r="835" spans="17:22" x14ac:dyDescent="0.3">
      <c r="Q835" s="5"/>
      <c r="R835" s="5"/>
      <c r="S835" s="5"/>
      <c r="T835" s="5"/>
      <c r="U835" s="92"/>
      <c r="V835" s="5"/>
    </row>
    <row r="836" spans="17:22" x14ac:dyDescent="0.3">
      <c r="Q836" s="5"/>
      <c r="R836" s="5"/>
      <c r="S836" s="5"/>
      <c r="T836" s="5"/>
      <c r="U836" s="92"/>
      <c r="V836" s="5"/>
    </row>
    <row r="837" spans="17:22" x14ac:dyDescent="0.3">
      <c r="Q837" s="5"/>
      <c r="R837" s="5"/>
      <c r="S837" s="5"/>
      <c r="T837" s="5"/>
      <c r="U837" s="92"/>
      <c r="V837" s="5"/>
    </row>
    <row r="838" spans="17:22" x14ac:dyDescent="0.3">
      <c r="Q838" s="5"/>
      <c r="R838" s="5"/>
      <c r="S838" s="5"/>
      <c r="T838" s="5"/>
      <c r="U838" s="92"/>
      <c r="V838" s="5"/>
    </row>
    <row r="839" spans="17:22" x14ac:dyDescent="0.3">
      <c r="Q839" s="5"/>
      <c r="R839" s="5"/>
      <c r="S839" s="5"/>
      <c r="T839" s="5"/>
      <c r="U839" s="92"/>
      <c r="V839" s="5"/>
    </row>
    <row r="840" spans="17:22" x14ac:dyDescent="0.3">
      <c r="Q840" s="5"/>
      <c r="R840" s="5"/>
      <c r="S840" s="5"/>
      <c r="T840" s="5"/>
      <c r="U840" s="92"/>
      <c r="V840" s="5"/>
    </row>
    <row r="841" spans="17:22" x14ac:dyDescent="0.3">
      <c r="Q841" s="5"/>
      <c r="R841" s="5"/>
      <c r="S841" s="5"/>
      <c r="T841" s="5"/>
      <c r="U841" s="92"/>
      <c r="V841" s="5"/>
    </row>
    <row r="842" spans="17:22" x14ac:dyDescent="0.3">
      <c r="Q842" s="5"/>
      <c r="R842" s="5"/>
      <c r="S842" s="5"/>
      <c r="T842" s="5"/>
      <c r="U842" s="92"/>
      <c r="V842" s="5"/>
    </row>
    <row r="843" spans="17:22" x14ac:dyDescent="0.3">
      <c r="Q843" s="5"/>
      <c r="R843" s="5"/>
      <c r="S843" s="5"/>
      <c r="T843" s="5"/>
      <c r="U843" s="92"/>
      <c r="V843" s="5"/>
    </row>
    <row r="844" spans="17:22" x14ac:dyDescent="0.3">
      <c r="Q844" s="5"/>
      <c r="R844" s="5"/>
      <c r="S844" s="5"/>
      <c r="T844" s="5"/>
      <c r="U844" s="92"/>
      <c r="V844" s="5"/>
    </row>
    <row r="845" spans="17:22" x14ac:dyDescent="0.3">
      <c r="Q845" s="5"/>
      <c r="R845" s="5"/>
      <c r="S845" s="5"/>
      <c r="T845" s="5"/>
      <c r="U845" s="92"/>
      <c r="V845" s="5"/>
    </row>
    <row r="846" spans="17:22" x14ac:dyDescent="0.3">
      <c r="Q846" s="5"/>
      <c r="R846" s="5"/>
      <c r="S846" s="5"/>
      <c r="T846" s="5"/>
      <c r="U846" s="92"/>
      <c r="V846" s="5"/>
    </row>
    <row r="847" spans="17:22" x14ac:dyDescent="0.3">
      <c r="Q847" s="5"/>
      <c r="R847" s="5"/>
      <c r="S847" s="5"/>
      <c r="T847" s="5"/>
      <c r="U847" s="92"/>
      <c r="V847" s="5"/>
    </row>
    <row r="848" spans="17:22" x14ac:dyDescent="0.3">
      <c r="Q848" s="5"/>
      <c r="R848" s="5"/>
      <c r="S848" s="5"/>
      <c r="T848" s="5"/>
      <c r="U848" s="92"/>
      <c r="V848" s="5"/>
    </row>
    <row r="849" spans="17:22" x14ac:dyDescent="0.3">
      <c r="Q849" s="5"/>
      <c r="R849" s="5"/>
      <c r="S849" s="5"/>
      <c r="T849" s="5"/>
      <c r="U849" s="92"/>
      <c r="V849" s="5"/>
    </row>
    <row r="850" spans="17:22" x14ac:dyDescent="0.3">
      <c r="Q850" s="5"/>
      <c r="R850" s="5"/>
      <c r="S850" s="5"/>
      <c r="T850" s="5"/>
      <c r="U850" s="92"/>
      <c r="V850" s="5"/>
    </row>
    <row r="851" spans="17:22" x14ac:dyDescent="0.3">
      <c r="Q851" s="5"/>
      <c r="R851" s="5"/>
      <c r="S851" s="5"/>
      <c r="T851" s="5"/>
      <c r="U851" s="92"/>
      <c r="V851" s="5"/>
    </row>
    <row r="852" spans="17:22" x14ac:dyDescent="0.3">
      <c r="Q852" s="5"/>
      <c r="R852" s="5"/>
      <c r="S852" s="5"/>
      <c r="T852" s="5"/>
      <c r="U852" s="92"/>
      <c r="V852" s="5"/>
    </row>
    <row r="853" spans="17:22" x14ac:dyDescent="0.3">
      <c r="Q853" s="5"/>
      <c r="R853" s="5"/>
      <c r="S853" s="5"/>
      <c r="T853" s="5"/>
      <c r="U853" s="92"/>
      <c r="V853" s="5"/>
    </row>
    <row r="854" spans="17:22" x14ac:dyDescent="0.3">
      <c r="Q854" s="5"/>
      <c r="R854" s="5"/>
      <c r="S854" s="5"/>
      <c r="T854" s="5"/>
      <c r="U854" s="92"/>
      <c r="V854" s="5"/>
    </row>
    <row r="855" spans="17:22" x14ac:dyDescent="0.3">
      <c r="Q855" s="5"/>
      <c r="R855" s="5"/>
      <c r="S855" s="5"/>
      <c r="T855" s="5"/>
      <c r="U855" s="92"/>
      <c r="V855" s="5"/>
    </row>
    <row r="856" spans="17:22" x14ac:dyDescent="0.3">
      <c r="Q856" s="5"/>
      <c r="R856" s="5"/>
      <c r="S856" s="5"/>
      <c r="T856" s="5"/>
      <c r="U856" s="92"/>
      <c r="V856" s="5"/>
    </row>
    <row r="857" spans="17:22" x14ac:dyDescent="0.3">
      <c r="Q857" s="5"/>
      <c r="R857" s="5"/>
      <c r="S857" s="5"/>
      <c r="T857" s="5"/>
      <c r="U857" s="92"/>
      <c r="V857" s="5"/>
    </row>
    <row r="858" spans="17:22" x14ac:dyDescent="0.3">
      <c r="Q858" s="5"/>
      <c r="R858" s="5"/>
      <c r="S858" s="5"/>
      <c r="T858" s="5"/>
      <c r="U858" s="92"/>
      <c r="V858" s="5"/>
    </row>
    <row r="859" spans="17:22" x14ac:dyDescent="0.3">
      <c r="Q859" s="5"/>
      <c r="R859" s="5"/>
      <c r="S859" s="5"/>
      <c r="T859" s="5"/>
      <c r="U859" s="92"/>
      <c r="V859" s="5"/>
    </row>
    <row r="860" spans="17:22" x14ac:dyDescent="0.3">
      <c r="Q860" s="5"/>
      <c r="R860" s="5"/>
      <c r="S860" s="5"/>
      <c r="T860" s="5"/>
      <c r="U860" s="92"/>
      <c r="V860" s="5"/>
    </row>
    <row r="861" spans="17:22" x14ac:dyDescent="0.3">
      <c r="Q861" s="5"/>
      <c r="R861" s="5"/>
      <c r="S861" s="5"/>
      <c r="T861" s="5"/>
      <c r="U861" s="92"/>
      <c r="V861" s="5"/>
    </row>
    <row r="862" spans="17:22" x14ac:dyDescent="0.3">
      <c r="Q862" s="5"/>
      <c r="R862" s="5"/>
      <c r="S862" s="5"/>
      <c r="T862" s="5"/>
      <c r="U862" s="92"/>
      <c r="V862" s="5"/>
    </row>
    <row r="863" spans="17:22" x14ac:dyDescent="0.3">
      <c r="Q863" s="5"/>
      <c r="R863" s="5"/>
      <c r="S863" s="5"/>
      <c r="T863" s="5"/>
      <c r="U863" s="92"/>
      <c r="V863" s="5"/>
    </row>
    <row r="864" spans="17:22" x14ac:dyDescent="0.3">
      <c r="Q864" s="5"/>
      <c r="R864" s="5"/>
      <c r="S864" s="5"/>
      <c r="T864" s="5"/>
      <c r="U864" s="92"/>
      <c r="V864" s="5"/>
    </row>
    <row r="865" spans="17:22" x14ac:dyDescent="0.3">
      <c r="Q865" s="5"/>
      <c r="R865" s="5"/>
      <c r="S865" s="5"/>
      <c r="T865" s="5"/>
      <c r="U865" s="92"/>
      <c r="V865" s="5"/>
    </row>
    <row r="866" spans="17:22" x14ac:dyDescent="0.3">
      <c r="Q866" s="5"/>
      <c r="R866" s="5"/>
      <c r="S866" s="5"/>
      <c r="T866" s="5"/>
      <c r="U866" s="92"/>
      <c r="V866" s="5"/>
    </row>
    <row r="867" spans="17:22" x14ac:dyDescent="0.3">
      <c r="Q867" s="5"/>
      <c r="R867" s="5"/>
      <c r="S867" s="5"/>
      <c r="T867" s="5"/>
      <c r="U867" s="92"/>
      <c r="V867" s="5"/>
    </row>
    <row r="868" spans="17:22" x14ac:dyDescent="0.3">
      <c r="Q868" s="5"/>
      <c r="R868" s="5"/>
      <c r="S868" s="5"/>
      <c r="T868" s="5"/>
      <c r="U868" s="92"/>
      <c r="V868" s="5"/>
    </row>
    <row r="869" spans="17:22" x14ac:dyDescent="0.3">
      <c r="Q869" s="5"/>
      <c r="R869" s="5"/>
      <c r="S869" s="5"/>
      <c r="T869" s="5"/>
      <c r="U869" s="92"/>
      <c r="V869" s="5"/>
    </row>
    <row r="870" spans="17:22" x14ac:dyDescent="0.3">
      <c r="Q870" s="5"/>
      <c r="R870" s="5"/>
      <c r="S870" s="5"/>
      <c r="T870" s="5"/>
      <c r="U870" s="92"/>
      <c r="V870" s="5"/>
    </row>
    <row r="871" spans="17:22" x14ac:dyDescent="0.3">
      <c r="Q871" s="5"/>
      <c r="R871" s="5"/>
      <c r="S871" s="5"/>
      <c r="T871" s="5"/>
      <c r="U871" s="92"/>
      <c r="V871" s="5"/>
    </row>
    <row r="872" spans="17:22" x14ac:dyDescent="0.3">
      <c r="Q872" s="5"/>
      <c r="R872" s="5"/>
      <c r="S872" s="5"/>
      <c r="T872" s="5"/>
      <c r="U872" s="92"/>
      <c r="V872" s="5"/>
    </row>
    <row r="873" spans="17:22" x14ac:dyDescent="0.3">
      <c r="Q873" s="5"/>
      <c r="R873" s="5"/>
      <c r="S873" s="5"/>
      <c r="T873" s="5"/>
      <c r="U873" s="92"/>
      <c r="V873" s="5"/>
    </row>
    <row r="874" spans="17:22" x14ac:dyDescent="0.3">
      <c r="Q874" s="5"/>
      <c r="R874" s="5"/>
      <c r="S874" s="5"/>
      <c r="T874" s="5"/>
      <c r="U874" s="92"/>
      <c r="V874" s="5"/>
    </row>
    <row r="875" spans="17:22" x14ac:dyDescent="0.3">
      <c r="Q875" s="5"/>
      <c r="R875" s="5"/>
      <c r="S875" s="5"/>
      <c r="T875" s="5"/>
      <c r="U875" s="92"/>
      <c r="V875" s="5"/>
    </row>
    <row r="876" spans="17:22" x14ac:dyDescent="0.3">
      <c r="Q876" s="5"/>
      <c r="R876" s="5"/>
      <c r="S876" s="5"/>
      <c r="T876" s="5"/>
      <c r="U876" s="92"/>
      <c r="V876" s="5"/>
    </row>
    <row r="877" spans="17:22" x14ac:dyDescent="0.3">
      <c r="Q877" s="5"/>
      <c r="R877" s="5"/>
      <c r="S877" s="5"/>
      <c r="T877" s="5"/>
      <c r="U877" s="92"/>
      <c r="V877" s="5"/>
    </row>
    <row r="878" spans="17:22" x14ac:dyDescent="0.3">
      <c r="Q878" s="5"/>
      <c r="R878" s="5"/>
      <c r="S878" s="5"/>
      <c r="T878" s="5"/>
      <c r="U878" s="92"/>
      <c r="V878" s="5"/>
    </row>
    <row r="879" spans="17:22" x14ac:dyDescent="0.3">
      <c r="Q879" s="5"/>
      <c r="R879" s="5"/>
      <c r="S879" s="5"/>
      <c r="T879" s="5"/>
      <c r="U879" s="92"/>
      <c r="V879" s="5"/>
    </row>
    <row r="880" spans="17:22" x14ac:dyDescent="0.3">
      <c r="Q880" s="5"/>
      <c r="R880" s="5"/>
      <c r="S880" s="5"/>
      <c r="T880" s="5"/>
      <c r="U880" s="92"/>
      <c r="V880" s="5"/>
    </row>
    <row r="881" spans="17:22" x14ac:dyDescent="0.3">
      <c r="Q881" s="5"/>
      <c r="R881" s="5"/>
      <c r="S881" s="5"/>
      <c r="T881" s="5"/>
      <c r="U881" s="92"/>
      <c r="V881" s="5"/>
    </row>
    <row r="882" spans="17:22" x14ac:dyDescent="0.3">
      <c r="Q882" s="5"/>
      <c r="R882" s="5"/>
      <c r="S882" s="5"/>
      <c r="T882" s="5"/>
      <c r="U882" s="92"/>
      <c r="V882" s="5"/>
    </row>
    <row r="883" spans="17:22" x14ac:dyDescent="0.3">
      <c r="Q883" s="5"/>
      <c r="R883" s="5"/>
      <c r="S883" s="5"/>
      <c r="T883" s="5"/>
      <c r="U883" s="92"/>
      <c r="V883" s="5"/>
    </row>
    <row r="884" spans="17:22" x14ac:dyDescent="0.3">
      <c r="Q884" s="5"/>
      <c r="R884" s="5"/>
      <c r="S884" s="5"/>
      <c r="T884" s="5"/>
      <c r="U884" s="92"/>
      <c r="V884" s="5"/>
    </row>
    <row r="885" spans="17:22" x14ac:dyDescent="0.3">
      <c r="Q885" s="5"/>
      <c r="R885" s="5"/>
      <c r="S885" s="5"/>
      <c r="T885" s="5"/>
      <c r="U885" s="92"/>
      <c r="V885" s="5"/>
    </row>
    <row r="886" spans="17:22" x14ac:dyDescent="0.3">
      <c r="Q886" s="5"/>
      <c r="R886" s="5"/>
      <c r="S886" s="5"/>
      <c r="T886" s="5"/>
      <c r="U886" s="92"/>
      <c r="V886" s="5"/>
    </row>
    <row r="887" spans="17:22" x14ac:dyDescent="0.3">
      <c r="Q887" s="5"/>
      <c r="R887" s="5"/>
      <c r="S887" s="5"/>
      <c r="T887" s="5"/>
      <c r="U887" s="92"/>
      <c r="V887" s="5"/>
    </row>
    <row r="888" spans="17:22" x14ac:dyDescent="0.3">
      <c r="Q888" s="5"/>
      <c r="R888" s="5"/>
      <c r="S888" s="5"/>
      <c r="T888" s="5"/>
      <c r="U888" s="92"/>
      <c r="V888" s="5"/>
    </row>
    <row r="889" spans="17:22" x14ac:dyDescent="0.3">
      <c r="Q889" s="5"/>
      <c r="R889" s="5"/>
      <c r="S889" s="5"/>
      <c r="T889" s="5"/>
      <c r="U889" s="92"/>
      <c r="V889" s="5"/>
    </row>
    <row r="890" spans="17:22" x14ac:dyDescent="0.3">
      <c r="Q890" s="5"/>
      <c r="R890" s="5"/>
      <c r="S890" s="5"/>
      <c r="T890" s="5"/>
      <c r="U890" s="92"/>
      <c r="V890" s="5"/>
    </row>
    <row r="891" spans="17:22" x14ac:dyDescent="0.3">
      <c r="Q891" s="5"/>
      <c r="R891" s="5"/>
      <c r="S891" s="5"/>
      <c r="T891" s="5"/>
      <c r="U891" s="92"/>
      <c r="V891" s="5"/>
    </row>
    <row r="892" spans="17:22" x14ac:dyDescent="0.3">
      <c r="Q892" s="5"/>
      <c r="R892" s="5"/>
      <c r="S892" s="5"/>
      <c r="T892" s="5"/>
      <c r="U892" s="92"/>
      <c r="V892" s="5"/>
    </row>
    <row r="893" spans="17:22" x14ac:dyDescent="0.3">
      <c r="Q893" s="5"/>
      <c r="R893" s="5"/>
      <c r="S893" s="5"/>
      <c r="T893" s="5"/>
      <c r="U893" s="92"/>
      <c r="V893" s="5"/>
    </row>
    <row r="894" spans="17:22" x14ac:dyDescent="0.3">
      <c r="Q894" s="5"/>
      <c r="R894" s="5"/>
      <c r="S894" s="5"/>
      <c r="T894" s="5"/>
      <c r="U894" s="92"/>
      <c r="V894" s="5"/>
    </row>
    <row r="895" spans="17:22" x14ac:dyDescent="0.3">
      <c r="Q895" s="5"/>
      <c r="R895" s="5"/>
      <c r="S895" s="5"/>
      <c r="T895" s="5"/>
      <c r="U895" s="92"/>
      <c r="V895" s="5"/>
    </row>
    <row r="896" spans="17:22" x14ac:dyDescent="0.3">
      <c r="Q896" s="5"/>
      <c r="R896" s="5"/>
      <c r="S896" s="5"/>
      <c r="T896" s="5"/>
      <c r="U896" s="92"/>
      <c r="V896" s="5"/>
    </row>
    <row r="897" spans="17:22" x14ac:dyDescent="0.3">
      <c r="Q897" s="5"/>
      <c r="R897" s="5"/>
      <c r="S897" s="5"/>
      <c r="T897" s="5"/>
      <c r="U897" s="92"/>
      <c r="V897" s="5"/>
    </row>
    <row r="898" spans="17:22" x14ac:dyDescent="0.3">
      <c r="Q898" s="5"/>
      <c r="R898" s="5"/>
      <c r="S898" s="5"/>
      <c r="T898" s="5"/>
      <c r="U898" s="92"/>
      <c r="V898" s="5"/>
    </row>
    <row r="899" spans="17:22" x14ac:dyDescent="0.3">
      <c r="Q899" s="5"/>
      <c r="R899" s="5"/>
      <c r="S899" s="5"/>
      <c r="T899" s="5"/>
      <c r="U899" s="92"/>
      <c r="V899" s="5"/>
    </row>
    <row r="900" spans="17:22" x14ac:dyDescent="0.3">
      <c r="Q900" s="5"/>
      <c r="R900" s="5"/>
      <c r="S900" s="5"/>
      <c r="T900" s="5"/>
      <c r="U900" s="92"/>
      <c r="V900" s="5"/>
    </row>
    <row r="901" spans="17:22" x14ac:dyDescent="0.3">
      <c r="Q901" s="5"/>
      <c r="R901" s="5"/>
      <c r="S901" s="5"/>
      <c r="T901" s="5"/>
      <c r="U901" s="92"/>
      <c r="V901" s="5"/>
    </row>
    <row r="902" spans="17:22" x14ac:dyDescent="0.3">
      <c r="Q902" s="5"/>
      <c r="R902" s="5"/>
      <c r="S902" s="5"/>
      <c r="T902" s="5"/>
      <c r="U902" s="92"/>
      <c r="V902" s="5"/>
    </row>
    <row r="903" spans="17:22" x14ac:dyDescent="0.3">
      <c r="Q903" s="5"/>
      <c r="R903" s="5"/>
      <c r="S903" s="5"/>
      <c r="T903" s="5"/>
      <c r="U903" s="92"/>
      <c r="V903" s="5"/>
    </row>
    <row r="904" spans="17:22" x14ac:dyDescent="0.3">
      <c r="Q904" s="5"/>
      <c r="R904" s="5"/>
      <c r="S904" s="5"/>
      <c r="T904" s="5"/>
      <c r="U904" s="92"/>
      <c r="V904" s="5"/>
    </row>
    <row r="905" spans="17:22" x14ac:dyDescent="0.3">
      <c r="Q905" s="5"/>
      <c r="R905" s="5"/>
      <c r="S905" s="5"/>
      <c r="T905" s="5"/>
      <c r="U905" s="92"/>
      <c r="V905" s="5"/>
    </row>
    <row r="906" spans="17:22" x14ac:dyDescent="0.3">
      <c r="Q906" s="5"/>
      <c r="R906" s="5"/>
      <c r="S906" s="5"/>
      <c r="T906" s="5"/>
      <c r="U906" s="92"/>
      <c r="V906" s="5"/>
    </row>
    <row r="907" spans="17:22" x14ac:dyDescent="0.3">
      <c r="Q907" s="5"/>
      <c r="R907" s="5"/>
      <c r="S907" s="5"/>
      <c r="T907" s="5"/>
      <c r="U907" s="92"/>
      <c r="V907" s="5"/>
    </row>
    <row r="908" spans="17:22" x14ac:dyDescent="0.3">
      <c r="Q908" s="5"/>
      <c r="R908" s="5"/>
      <c r="S908" s="5"/>
      <c r="T908" s="5"/>
      <c r="U908" s="92"/>
      <c r="V908" s="5"/>
    </row>
    <row r="909" spans="17:22" x14ac:dyDescent="0.3">
      <c r="Q909" s="5"/>
      <c r="R909" s="5"/>
      <c r="S909" s="5"/>
      <c r="T909" s="5"/>
      <c r="U909" s="92"/>
      <c r="V909" s="5"/>
    </row>
    <row r="910" spans="17:22" x14ac:dyDescent="0.3">
      <c r="Q910" s="5"/>
      <c r="R910" s="5"/>
      <c r="S910" s="5"/>
      <c r="T910" s="5"/>
      <c r="U910" s="92"/>
      <c r="V910" s="5"/>
    </row>
    <row r="911" spans="17:22" x14ac:dyDescent="0.3">
      <c r="Q911" s="5"/>
      <c r="R911" s="5"/>
      <c r="S911" s="5"/>
      <c r="T911" s="5"/>
      <c r="U911" s="92"/>
      <c r="V911" s="5"/>
    </row>
    <row r="912" spans="17:22" x14ac:dyDescent="0.3">
      <c r="Q912" s="5"/>
      <c r="R912" s="5"/>
      <c r="S912" s="5"/>
      <c r="T912" s="5"/>
      <c r="U912" s="92"/>
      <c r="V912" s="5"/>
    </row>
    <row r="913" spans="17:22" x14ac:dyDescent="0.3">
      <c r="Q913" s="5"/>
      <c r="R913" s="5"/>
      <c r="S913" s="5"/>
      <c r="T913" s="5"/>
      <c r="U913" s="92"/>
      <c r="V913" s="5"/>
    </row>
    <row r="914" spans="17:22" x14ac:dyDescent="0.3">
      <c r="Q914" s="5"/>
      <c r="R914" s="5"/>
      <c r="S914" s="5"/>
      <c r="T914" s="5"/>
      <c r="U914" s="92"/>
      <c r="V914" s="5"/>
    </row>
    <row r="915" spans="17:22" x14ac:dyDescent="0.3">
      <c r="Q915" s="5"/>
      <c r="R915" s="5"/>
      <c r="S915" s="5"/>
      <c r="T915" s="5"/>
      <c r="U915" s="92"/>
      <c r="V915" s="5"/>
    </row>
    <row r="916" spans="17:22" x14ac:dyDescent="0.3">
      <c r="Q916" s="5"/>
      <c r="R916" s="5"/>
      <c r="S916" s="5"/>
      <c r="T916" s="5"/>
      <c r="U916" s="92"/>
      <c r="V916" s="5"/>
    </row>
    <row r="917" spans="17:22" x14ac:dyDescent="0.3">
      <c r="Q917" s="5"/>
      <c r="R917" s="5"/>
      <c r="S917" s="5"/>
      <c r="T917" s="5"/>
      <c r="U917" s="92"/>
      <c r="V917" s="5"/>
    </row>
    <row r="918" spans="17:22" x14ac:dyDescent="0.3">
      <c r="Q918" s="5"/>
      <c r="R918" s="5"/>
      <c r="S918" s="5"/>
      <c r="T918" s="5"/>
      <c r="U918" s="92"/>
      <c r="V918" s="5"/>
    </row>
    <row r="919" spans="17:22" x14ac:dyDescent="0.3">
      <c r="Q919" s="5"/>
      <c r="R919" s="5"/>
      <c r="S919" s="5"/>
      <c r="T919" s="5"/>
      <c r="U919" s="92"/>
      <c r="V919" s="5"/>
    </row>
    <row r="920" spans="17:22" x14ac:dyDescent="0.3">
      <c r="Q920" s="5"/>
      <c r="R920" s="5"/>
      <c r="S920" s="5"/>
      <c r="T920" s="5"/>
      <c r="U920" s="92"/>
      <c r="V920" s="5"/>
    </row>
    <row r="921" spans="17:22" x14ac:dyDescent="0.3">
      <c r="Q921" s="5"/>
      <c r="R921" s="5"/>
      <c r="S921" s="5"/>
      <c r="T921" s="5"/>
      <c r="U921" s="92"/>
      <c r="V921" s="5"/>
    </row>
    <row r="922" spans="17:22" x14ac:dyDescent="0.3">
      <c r="Q922" s="5"/>
      <c r="R922" s="5"/>
      <c r="S922" s="5"/>
      <c r="T922" s="5"/>
      <c r="U922" s="92"/>
      <c r="V922" s="5"/>
    </row>
    <row r="923" spans="17:22" x14ac:dyDescent="0.3">
      <c r="Q923" s="5"/>
      <c r="R923" s="5"/>
      <c r="S923" s="5"/>
      <c r="T923" s="5"/>
      <c r="U923" s="92"/>
      <c r="V923" s="5"/>
    </row>
    <row r="924" spans="17:22" x14ac:dyDescent="0.3">
      <c r="Q924" s="5"/>
      <c r="R924" s="5"/>
      <c r="S924" s="5"/>
      <c r="T924" s="5"/>
      <c r="U924" s="92"/>
      <c r="V924" s="5"/>
    </row>
    <row r="925" spans="17:22" x14ac:dyDescent="0.3">
      <c r="Q925" s="5"/>
      <c r="R925" s="5"/>
      <c r="S925" s="5"/>
      <c r="T925" s="5"/>
      <c r="U925" s="92"/>
      <c r="V925" s="5"/>
    </row>
    <row r="926" spans="17:22" x14ac:dyDescent="0.3">
      <c r="Q926" s="5"/>
      <c r="R926" s="5"/>
      <c r="S926" s="5"/>
      <c r="T926" s="5"/>
      <c r="U926" s="92"/>
      <c r="V926" s="5"/>
    </row>
    <row r="927" spans="17:22" x14ac:dyDescent="0.3">
      <c r="Q927" s="5"/>
      <c r="R927" s="5"/>
      <c r="S927" s="5"/>
      <c r="T927" s="5"/>
      <c r="U927" s="92"/>
      <c r="V927" s="5"/>
    </row>
    <row r="928" spans="17:22" x14ac:dyDescent="0.3">
      <c r="Q928" s="5"/>
      <c r="R928" s="5"/>
      <c r="S928" s="5"/>
      <c r="T928" s="5"/>
      <c r="U928" s="92"/>
      <c r="V928" s="5"/>
    </row>
    <row r="929" spans="17:22" x14ac:dyDescent="0.3">
      <c r="Q929" s="5"/>
      <c r="R929" s="5"/>
      <c r="S929" s="5"/>
      <c r="T929" s="5"/>
      <c r="U929" s="92"/>
      <c r="V929" s="5"/>
    </row>
    <row r="930" spans="17:22" x14ac:dyDescent="0.3">
      <c r="Q930" s="5"/>
      <c r="R930" s="5"/>
      <c r="S930" s="5"/>
      <c r="T930" s="5"/>
      <c r="U930" s="92"/>
      <c r="V930" s="5"/>
    </row>
    <row r="931" spans="17:22" x14ac:dyDescent="0.3">
      <c r="Q931" s="5"/>
      <c r="R931" s="5"/>
      <c r="S931" s="5"/>
      <c r="T931" s="5"/>
      <c r="U931" s="92"/>
      <c r="V931" s="5"/>
    </row>
    <row r="932" spans="17:22" x14ac:dyDescent="0.3">
      <c r="Q932" s="5"/>
      <c r="R932" s="5"/>
      <c r="S932" s="5"/>
      <c r="T932" s="5"/>
      <c r="U932" s="92"/>
      <c r="V932" s="5"/>
    </row>
    <row r="933" spans="17:22" x14ac:dyDescent="0.3">
      <c r="Q933" s="5"/>
      <c r="R933" s="5"/>
      <c r="S933" s="5"/>
      <c r="T933" s="5"/>
      <c r="U933" s="92"/>
      <c r="V933" s="5"/>
    </row>
    <row r="934" spans="17:22" x14ac:dyDescent="0.3">
      <c r="Q934" s="5"/>
      <c r="R934" s="5"/>
      <c r="S934" s="5"/>
      <c r="T934" s="5"/>
      <c r="U934" s="92"/>
      <c r="V934" s="5"/>
    </row>
    <row r="935" spans="17:22" x14ac:dyDescent="0.3">
      <c r="Q935" s="5"/>
      <c r="R935" s="5"/>
      <c r="S935" s="5"/>
      <c r="T935" s="5"/>
      <c r="U935" s="92"/>
      <c r="V935" s="5"/>
    </row>
    <row r="936" spans="17:22" x14ac:dyDescent="0.3">
      <c r="Q936" s="5"/>
      <c r="R936" s="5"/>
      <c r="S936" s="5"/>
      <c r="T936" s="5"/>
      <c r="U936" s="92"/>
      <c r="V936" s="5"/>
    </row>
    <row r="937" spans="17:22" x14ac:dyDescent="0.3">
      <c r="Q937" s="5"/>
      <c r="R937" s="5"/>
      <c r="S937" s="5"/>
      <c r="T937" s="5"/>
      <c r="U937" s="92"/>
      <c r="V937" s="5"/>
    </row>
    <row r="938" spans="17:22" x14ac:dyDescent="0.3">
      <c r="Q938" s="5"/>
      <c r="R938" s="5"/>
      <c r="S938" s="5"/>
      <c r="T938" s="5"/>
      <c r="U938" s="92"/>
      <c r="V938" s="5"/>
    </row>
    <row r="939" spans="17:22" x14ac:dyDescent="0.3">
      <c r="Q939" s="5"/>
      <c r="R939" s="5"/>
      <c r="S939" s="5"/>
      <c r="T939" s="5"/>
      <c r="U939" s="92"/>
      <c r="V939" s="5"/>
    </row>
    <row r="940" spans="17:22" x14ac:dyDescent="0.3">
      <c r="Q940" s="5"/>
      <c r="R940" s="5"/>
      <c r="S940" s="5"/>
      <c r="T940" s="5"/>
      <c r="U940" s="92"/>
      <c r="V940" s="5"/>
    </row>
    <row r="941" spans="17:22" x14ac:dyDescent="0.3">
      <c r="Q941" s="5"/>
      <c r="R941" s="5"/>
      <c r="S941" s="5"/>
      <c r="T941" s="5"/>
      <c r="U941" s="92"/>
      <c r="V941" s="5"/>
    </row>
    <row r="942" spans="17:22" x14ac:dyDescent="0.3">
      <c r="Q942" s="5"/>
      <c r="R942" s="5"/>
      <c r="S942" s="5"/>
      <c r="T942" s="5"/>
      <c r="U942" s="92"/>
      <c r="V942" s="5"/>
    </row>
    <row r="943" spans="17:22" x14ac:dyDescent="0.3">
      <c r="Q943" s="5"/>
      <c r="R943" s="5"/>
      <c r="S943" s="5"/>
      <c r="T943" s="5"/>
      <c r="U943" s="92"/>
      <c r="V943" s="5"/>
    </row>
    <row r="944" spans="17:22" x14ac:dyDescent="0.3">
      <c r="Q944" s="5"/>
      <c r="R944" s="5"/>
      <c r="S944" s="5"/>
      <c r="T944" s="5"/>
      <c r="U944" s="92"/>
      <c r="V944" s="5"/>
    </row>
    <row r="945" spans="17:22" x14ac:dyDescent="0.3">
      <c r="Q945" s="5"/>
      <c r="R945" s="5"/>
      <c r="S945" s="5"/>
      <c r="T945" s="5"/>
      <c r="U945" s="92"/>
      <c r="V945" s="5"/>
    </row>
    <row r="946" spans="17:22" x14ac:dyDescent="0.3">
      <c r="Q946" s="5"/>
      <c r="R946" s="5"/>
      <c r="S946" s="5"/>
      <c r="T946" s="5"/>
      <c r="U946" s="92"/>
      <c r="V946" s="5"/>
    </row>
    <row r="947" spans="17:22" x14ac:dyDescent="0.3">
      <c r="Q947" s="5"/>
      <c r="R947" s="5"/>
      <c r="S947" s="5"/>
      <c r="T947" s="5"/>
      <c r="U947" s="92"/>
      <c r="V947" s="5"/>
    </row>
    <row r="948" spans="17:22" x14ac:dyDescent="0.3">
      <c r="Q948" s="5"/>
      <c r="R948" s="5"/>
      <c r="S948" s="5"/>
      <c r="T948" s="5"/>
      <c r="U948" s="92"/>
      <c r="V948" s="5"/>
    </row>
    <row r="949" spans="17:22" x14ac:dyDescent="0.3">
      <c r="Q949" s="5"/>
      <c r="R949" s="5"/>
      <c r="S949" s="5"/>
      <c r="T949" s="5"/>
      <c r="U949" s="92"/>
      <c r="V949" s="5"/>
    </row>
    <row r="950" spans="17:22" x14ac:dyDescent="0.3">
      <c r="Q950" s="5"/>
      <c r="R950" s="5"/>
      <c r="S950" s="5"/>
      <c r="T950" s="5"/>
      <c r="U950" s="92"/>
      <c r="V950" s="5"/>
    </row>
    <row r="951" spans="17:22" x14ac:dyDescent="0.3">
      <c r="Q951" s="5"/>
      <c r="R951" s="5"/>
      <c r="S951" s="5"/>
      <c r="T951" s="5"/>
      <c r="U951" s="92"/>
      <c r="V951" s="5"/>
    </row>
    <row r="952" spans="17:22" x14ac:dyDescent="0.3">
      <c r="Q952" s="5"/>
      <c r="R952" s="5"/>
      <c r="S952" s="5"/>
      <c r="T952" s="5"/>
      <c r="U952" s="92"/>
      <c r="V952" s="5"/>
    </row>
    <row r="953" spans="17:22" x14ac:dyDescent="0.3">
      <c r="Q953" s="5"/>
      <c r="R953" s="5"/>
      <c r="S953" s="5"/>
      <c r="T953" s="5"/>
      <c r="U953" s="92"/>
      <c r="V953" s="5"/>
    </row>
    <row r="954" spans="17:22" x14ac:dyDescent="0.3">
      <c r="Q954" s="5"/>
      <c r="R954" s="5"/>
      <c r="S954" s="5"/>
      <c r="T954" s="5"/>
      <c r="U954" s="92"/>
      <c r="V954" s="5"/>
    </row>
    <row r="955" spans="17:22" x14ac:dyDescent="0.3">
      <c r="Q955" s="5"/>
      <c r="R955" s="5"/>
      <c r="S955" s="5"/>
      <c r="T955" s="5"/>
      <c r="U955" s="92"/>
      <c r="V955" s="5"/>
    </row>
    <row r="956" spans="17:22" x14ac:dyDescent="0.3">
      <c r="Q956" s="5"/>
      <c r="R956" s="5"/>
      <c r="S956" s="5"/>
      <c r="T956" s="5"/>
      <c r="U956" s="92"/>
      <c r="V956" s="5"/>
    </row>
    <row r="957" spans="17:22" x14ac:dyDescent="0.3">
      <c r="Q957" s="5"/>
      <c r="R957" s="5"/>
      <c r="S957" s="5"/>
      <c r="T957" s="5"/>
      <c r="U957" s="92"/>
      <c r="V957" s="5"/>
    </row>
    <row r="958" spans="17:22" x14ac:dyDescent="0.3">
      <c r="Q958" s="5"/>
      <c r="R958" s="5"/>
      <c r="S958" s="5"/>
      <c r="T958" s="5"/>
      <c r="U958" s="92"/>
      <c r="V958" s="5"/>
    </row>
    <row r="959" spans="17:22" x14ac:dyDescent="0.3">
      <c r="Q959" s="5"/>
      <c r="R959" s="5"/>
      <c r="S959" s="5"/>
      <c r="T959" s="5"/>
      <c r="U959" s="92"/>
      <c r="V959" s="5"/>
    </row>
    <row r="960" spans="17:22" x14ac:dyDescent="0.3">
      <c r="Q960" s="5"/>
      <c r="R960" s="5"/>
      <c r="S960" s="5"/>
      <c r="T960" s="5"/>
      <c r="U960" s="92"/>
      <c r="V960" s="5"/>
    </row>
    <row r="961" spans="17:22" x14ac:dyDescent="0.3">
      <c r="Q961" s="5"/>
      <c r="R961" s="5"/>
      <c r="S961" s="5"/>
      <c r="T961" s="5"/>
      <c r="U961" s="92"/>
      <c r="V961" s="5"/>
    </row>
    <row r="962" spans="17:22" x14ac:dyDescent="0.3">
      <c r="Q962" s="5"/>
      <c r="R962" s="5"/>
      <c r="S962" s="5"/>
      <c r="T962" s="5"/>
      <c r="U962" s="92"/>
      <c r="V962" s="5"/>
    </row>
    <row r="963" spans="17:22" x14ac:dyDescent="0.3">
      <c r="Q963" s="5"/>
      <c r="R963" s="5"/>
      <c r="S963" s="5"/>
      <c r="T963" s="5"/>
      <c r="U963" s="92"/>
      <c r="V963" s="5"/>
    </row>
    <row r="964" spans="17:22" x14ac:dyDescent="0.3">
      <c r="Q964" s="5"/>
      <c r="R964" s="5"/>
      <c r="S964" s="5"/>
      <c r="T964" s="5"/>
      <c r="U964" s="92"/>
      <c r="V964" s="5"/>
    </row>
    <row r="965" spans="17:22" x14ac:dyDescent="0.3">
      <c r="Q965" s="5"/>
      <c r="R965" s="5"/>
      <c r="S965" s="5"/>
      <c r="T965" s="5"/>
      <c r="U965" s="92"/>
      <c r="V965" s="5"/>
    </row>
    <row r="966" spans="17:22" x14ac:dyDescent="0.3">
      <c r="Q966" s="5"/>
      <c r="R966" s="5"/>
      <c r="S966" s="5"/>
      <c r="T966" s="5"/>
      <c r="U966" s="92"/>
      <c r="V966" s="5"/>
    </row>
    <row r="967" spans="17:22" x14ac:dyDescent="0.3">
      <c r="Q967" s="5"/>
      <c r="R967" s="5"/>
      <c r="S967" s="5"/>
      <c r="T967" s="5"/>
      <c r="U967" s="92"/>
      <c r="V967" s="5"/>
    </row>
    <row r="968" spans="17:22" x14ac:dyDescent="0.3">
      <c r="Q968" s="5"/>
      <c r="R968" s="5"/>
      <c r="S968" s="5"/>
      <c r="T968" s="5"/>
      <c r="U968" s="92"/>
      <c r="V968" s="5"/>
    </row>
    <row r="969" spans="17:22" x14ac:dyDescent="0.3">
      <c r="Q969" s="5"/>
      <c r="R969" s="5"/>
      <c r="S969" s="5"/>
      <c r="T969" s="5"/>
      <c r="U969" s="92"/>
      <c r="V969" s="5"/>
    </row>
    <row r="970" spans="17:22" x14ac:dyDescent="0.3">
      <c r="Q970" s="5"/>
      <c r="R970" s="5"/>
      <c r="S970" s="5"/>
      <c r="T970" s="5"/>
      <c r="U970" s="92"/>
      <c r="V970" s="5"/>
    </row>
    <row r="971" spans="17:22" x14ac:dyDescent="0.3">
      <c r="Q971" s="5"/>
      <c r="R971" s="5"/>
      <c r="S971" s="5"/>
      <c r="T971" s="5"/>
      <c r="U971" s="92"/>
      <c r="V971" s="5"/>
    </row>
    <row r="972" spans="17:22" x14ac:dyDescent="0.3">
      <c r="Q972" s="5"/>
      <c r="R972" s="5"/>
      <c r="S972" s="5"/>
      <c r="T972" s="5"/>
      <c r="U972" s="92"/>
      <c r="V972" s="5"/>
    </row>
    <row r="973" spans="17:22" x14ac:dyDescent="0.3">
      <c r="Q973" s="5"/>
      <c r="R973" s="5"/>
      <c r="S973" s="5"/>
      <c r="T973" s="5"/>
      <c r="U973" s="92"/>
      <c r="V973" s="5"/>
    </row>
    <row r="974" spans="17:22" x14ac:dyDescent="0.3">
      <c r="Q974" s="5"/>
      <c r="R974" s="5"/>
      <c r="S974" s="5"/>
      <c r="T974" s="5"/>
      <c r="U974" s="92"/>
      <c r="V974" s="5"/>
    </row>
    <row r="975" spans="17:22" x14ac:dyDescent="0.3">
      <c r="Q975" s="5"/>
      <c r="R975" s="5"/>
      <c r="S975" s="5"/>
      <c r="T975" s="5"/>
      <c r="U975" s="92"/>
      <c r="V975" s="5"/>
    </row>
    <row r="976" spans="17:22" x14ac:dyDescent="0.3">
      <c r="Q976" s="5"/>
      <c r="R976" s="5"/>
      <c r="S976" s="5"/>
      <c r="T976" s="5"/>
      <c r="U976" s="92"/>
      <c r="V976" s="5"/>
    </row>
    <row r="977" spans="17:22" x14ac:dyDescent="0.3">
      <c r="Q977" s="5"/>
      <c r="R977" s="5"/>
      <c r="S977" s="5"/>
      <c r="T977" s="5"/>
      <c r="U977" s="92"/>
      <c r="V977" s="5"/>
    </row>
    <row r="978" spans="17:22" x14ac:dyDescent="0.3">
      <c r="Q978" s="5"/>
      <c r="R978" s="5"/>
      <c r="S978" s="5"/>
      <c r="T978" s="5"/>
      <c r="U978" s="92"/>
      <c r="V978" s="5"/>
    </row>
    <row r="979" spans="17:22" x14ac:dyDescent="0.3">
      <c r="Q979" s="5"/>
      <c r="R979" s="5"/>
      <c r="S979" s="5"/>
      <c r="T979" s="5"/>
      <c r="U979" s="92"/>
      <c r="V979" s="5"/>
    </row>
    <row r="980" spans="17:22" x14ac:dyDescent="0.3">
      <c r="Q980" s="5"/>
      <c r="R980" s="5"/>
      <c r="S980" s="5"/>
      <c r="T980" s="5"/>
      <c r="U980" s="92"/>
      <c r="V980" s="5"/>
    </row>
    <row r="981" spans="17:22" x14ac:dyDescent="0.3">
      <c r="Q981" s="5"/>
      <c r="R981" s="5"/>
      <c r="S981" s="5"/>
      <c r="T981" s="5"/>
      <c r="U981" s="92"/>
      <c r="V981" s="5"/>
    </row>
    <row r="982" spans="17:22" x14ac:dyDescent="0.3">
      <c r="Q982" s="5"/>
      <c r="R982" s="5"/>
      <c r="S982" s="5"/>
      <c r="T982" s="5"/>
      <c r="U982" s="92"/>
      <c r="V982" s="5"/>
    </row>
    <row r="983" spans="17:22" x14ac:dyDescent="0.3">
      <c r="Q983" s="5"/>
      <c r="R983" s="5"/>
      <c r="S983" s="5"/>
      <c r="T983" s="5"/>
      <c r="U983" s="92"/>
      <c r="V983" s="5"/>
    </row>
    <row r="984" spans="17:22" x14ac:dyDescent="0.3">
      <c r="Q984" s="5"/>
      <c r="R984" s="5"/>
      <c r="S984" s="5"/>
      <c r="T984" s="5"/>
      <c r="U984" s="92"/>
      <c r="V984" s="5"/>
    </row>
    <row r="985" spans="17:22" x14ac:dyDescent="0.3">
      <c r="Q985" s="5"/>
      <c r="R985" s="5"/>
      <c r="S985" s="5"/>
      <c r="T985" s="5"/>
      <c r="U985" s="92"/>
      <c r="V985" s="5"/>
    </row>
    <row r="986" spans="17:22" x14ac:dyDescent="0.3">
      <c r="Q986" s="5"/>
      <c r="R986" s="5"/>
      <c r="S986" s="5"/>
      <c r="T986" s="5"/>
      <c r="U986" s="92"/>
      <c r="V986" s="5"/>
    </row>
    <row r="987" spans="17:22" x14ac:dyDescent="0.3">
      <c r="Q987" s="5"/>
      <c r="R987" s="5"/>
      <c r="S987" s="5"/>
      <c r="T987" s="5"/>
      <c r="U987" s="92"/>
      <c r="V987" s="5"/>
    </row>
    <row r="988" spans="17:22" x14ac:dyDescent="0.3">
      <c r="Q988" s="5"/>
      <c r="R988" s="5"/>
      <c r="S988" s="5"/>
      <c r="T988" s="5"/>
      <c r="U988" s="92"/>
      <c r="V988" s="5"/>
    </row>
    <row r="989" spans="17:22" x14ac:dyDescent="0.3">
      <c r="Q989" s="5"/>
      <c r="R989" s="5"/>
      <c r="S989" s="5"/>
      <c r="T989" s="5"/>
      <c r="U989" s="92"/>
      <c r="V989" s="5"/>
    </row>
    <row r="990" spans="17:22" x14ac:dyDescent="0.3">
      <c r="Q990" s="5"/>
      <c r="R990" s="5"/>
      <c r="S990" s="5"/>
      <c r="T990" s="5"/>
      <c r="U990" s="92"/>
      <c r="V990" s="5"/>
    </row>
    <row r="991" spans="17:22" x14ac:dyDescent="0.3">
      <c r="Q991" s="5"/>
      <c r="R991" s="5"/>
      <c r="S991" s="5"/>
      <c r="T991" s="5"/>
      <c r="U991" s="92"/>
      <c r="V991" s="5"/>
    </row>
    <row r="992" spans="17:22" x14ac:dyDescent="0.3">
      <c r="Q992" s="5"/>
      <c r="R992" s="5"/>
      <c r="S992" s="5"/>
      <c r="T992" s="5"/>
      <c r="U992" s="92"/>
      <c r="V992" s="5"/>
    </row>
    <row r="993" spans="17:22" x14ac:dyDescent="0.3">
      <c r="Q993" s="5"/>
      <c r="R993" s="5"/>
      <c r="S993" s="5"/>
      <c r="T993" s="5"/>
      <c r="U993" s="92"/>
      <c r="V993" s="5"/>
    </row>
    <row r="994" spans="17:22" x14ac:dyDescent="0.3">
      <c r="Q994" s="5"/>
      <c r="R994" s="5"/>
      <c r="S994" s="5"/>
      <c r="T994" s="5"/>
      <c r="U994" s="92"/>
      <c r="V994" s="5"/>
    </row>
    <row r="995" spans="17:22" x14ac:dyDescent="0.3">
      <c r="Q995" s="5"/>
      <c r="R995" s="5"/>
      <c r="S995" s="5"/>
      <c r="T995" s="5"/>
      <c r="U995" s="92"/>
      <c r="V995" s="5"/>
    </row>
    <row r="996" spans="17:22" x14ac:dyDescent="0.3">
      <c r="Q996" s="5"/>
      <c r="R996" s="5"/>
      <c r="S996" s="5"/>
      <c r="T996" s="5"/>
      <c r="U996" s="92"/>
      <c r="V996" s="5"/>
    </row>
    <row r="997" spans="17:22" x14ac:dyDescent="0.3">
      <c r="Q997" s="5"/>
      <c r="R997" s="5"/>
      <c r="S997" s="5"/>
      <c r="T997" s="5"/>
      <c r="U997" s="92"/>
      <c r="V997" s="5"/>
    </row>
    <row r="998" spans="17:22" x14ac:dyDescent="0.3">
      <c r="Q998" s="5"/>
      <c r="R998" s="5"/>
      <c r="S998" s="5"/>
      <c r="T998" s="5"/>
      <c r="U998" s="92"/>
      <c r="V998" s="5"/>
    </row>
    <row r="999" spans="17:22" x14ac:dyDescent="0.3">
      <c r="Q999" s="5"/>
      <c r="R999" s="5"/>
      <c r="S999" s="5"/>
      <c r="T999" s="5"/>
      <c r="U999" s="92"/>
      <c r="V999" s="5"/>
    </row>
    <row r="1000" spans="17:22" x14ac:dyDescent="0.3">
      <c r="Q1000" s="5"/>
      <c r="R1000" s="5"/>
      <c r="S1000" s="5"/>
      <c r="T1000" s="5"/>
      <c r="U1000" s="92"/>
      <c r="V1000" s="5"/>
    </row>
    <row r="1001" spans="17:22" x14ac:dyDescent="0.3">
      <c r="Q1001" s="5"/>
      <c r="R1001" s="5"/>
      <c r="S1001" s="5"/>
      <c r="T1001" s="5"/>
      <c r="U1001" s="92"/>
      <c r="V1001" s="5"/>
    </row>
    <row r="1002" spans="17:22" x14ac:dyDescent="0.3">
      <c r="Q1002" s="5"/>
      <c r="R1002" s="5"/>
      <c r="S1002" s="5"/>
      <c r="T1002" s="5"/>
      <c r="U1002" s="92"/>
      <c r="V1002" s="5"/>
    </row>
    <row r="1003" spans="17:22" x14ac:dyDescent="0.3">
      <c r="Q1003" s="5"/>
      <c r="R1003" s="5"/>
      <c r="S1003" s="5"/>
      <c r="T1003" s="5"/>
      <c r="U1003" s="92"/>
      <c r="V1003" s="5"/>
    </row>
    <row r="1004" spans="17:22" x14ac:dyDescent="0.3">
      <c r="Q1004" s="5"/>
      <c r="R1004" s="5"/>
      <c r="S1004" s="5"/>
      <c r="T1004" s="5"/>
      <c r="U1004" s="92"/>
      <c r="V1004" s="5"/>
    </row>
    <row r="1005" spans="17:22" x14ac:dyDescent="0.3">
      <c r="Q1005" s="5"/>
      <c r="R1005" s="5"/>
      <c r="S1005" s="5"/>
      <c r="T1005" s="5"/>
      <c r="U1005" s="92"/>
      <c r="V1005" s="5"/>
    </row>
    <row r="1006" spans="17:22" x14ac:dyDescent="0.3">
      <c r="Q1006" s="5"/>
      <c r="R1006" s="5"/>
      <c r="S1006" s="5"/>
      <c r="T1006" s="5"/>
      <c r="U1006" s="92"/>
      <c r="V1006" s="5"/>
    </row>
    <row r="1007" spans="17:22" x14ac:dyDescent="0.3">
      <c r="Q1007" s="5"/>
      <c r="R1007" s="5"/>
      <c r="S1007" s="5"/>
      <c r="T1007" s="5"/>
      <c r="U1007" s="92"/>
      <c r="V1007" s="5"/>
    </row>
    <row r="1008" spans="17:22" x14ac:dyDescent="0.3">
      <c r="Q1008" s="5"/>
      <c r="R1008" s="5"/>
      <c r="S1008" s="5"/>
      <c r="T1008" s="5"/>
      <c r="U1008" s="92"/>
      <c r="V1008" s="5"/>
    </row>
    <row r="1009" spans="17:22" x14ac:dyDescent="0.3">
      <c r="Q1009" s="5"/>
      <c r="R1009" s="5"/>
      <c r="S1009" s="5"/>
      <c r="T1009" s="5"/>
      <c r="U1009" s="92"/>
      <c r="V1009" s="5"/>
    </row>
    <row r="1010" spans="17:22" x14ac:dyDescent="0.3">
      <c r="Q1010" s="5"/>
      <c r="R1010" s="5"/>
      <c r="S1010" s="5"/>
      <c r="T1010" s="5"/>
      <c r="U1010" s="92"/>
      <c r="V1010" s="5"/>
    </row>
    <row r="1011" spans="17:22" x14ac:dyDescent="0.3">
      <c r="Q1011" s="5"/>
      <c r="R1011" s="5"/>
      <c r="S1011" s="5"/>
      <c r="T1011" s="5"/>
      <c r="U1011" s="92"/>
      <c r="V1011" s="5"/>
    </row>
    <row r="1012" spans="17:22" x14ac:dyDescent="0.3">
      <c r="Q1012" s="5"/>
      <c r="R1012" s="5"/>
      <c r="S1012" s="5"/>
      <c r="T1012" s="5"/>
      <c r="U1012" s="92"/>
      <c r="V1012" s="5"/>
    </row>
    <row r="1013" spans="17:22" x14ac:dyDescent="0.3">
      <c r="Q1013" s="5"/>
      <c r="R1013" s="5"/>
      <c r="S1013" s="5"/>
      <c r="T1013" s="5"/>
      <c r="U1013" s="92"/>
      <c r="V1013" s="5"/>
    </row>
    <row r="1014" spans="17:22" x14ac:dyDescent="0.3">
      <c r="Q1014" s="5"/>
      <c r="R1014" s="5"/>
      <c r="S1014" s="5"/>
      <c r="T1014" s="5"/>
      <c r="U1014" s="92"/>
      <c r="V1014" s="5"/>
    </row>
    <row r="1015" spans="17:22" x14ac:dyDescent="0.3">
      <c r="Q1015" s="5"/>
      <c r="R1015" s="5"/>
      <c r="S1015" s="5"/>
      <c r="T1015" s="5"/>
      <c r="U1015" s="92"/>
      <c r="V1015" s="5"/>
    </row>
    <row r="1016" spans="17:22" x14ac:dyDescent="0.3">
      <c r="Q1016" s="5"/>
      <c r="R1016" s="5"/>
      <c r="S1016" s="5"/>
      <c r="T1016" s="5"/>
      <c r="U1016" s="92"/>
      <c r="V1016" s="5"/>
    </row>
    <row r="1017" spans="17:22" x14ac:dyDescent="0.3">
      <c r="Q1017" s="5"/>
      <c r="R1017" s="5"/>
      <c r="S1017" s="5"/>
      <c r="T1017" s="5"/>
      <c r="U1017" s="92"/>
      <c r="V1017" s="5"/>
    </row>
    <row r="1018" spans="17:22" x14ac:dyDescent="0.3">
      <c r="Q1018" s="5"/>
      <c r="R1018" s="5"/>
      <c r="S1018" s="5"/>
      <c r="T1018" s="5"/>
      <c r="U1018" s="92"/>
      <c r="V1018" s="5"/>
    </row>
    <row r="1019" spans="17:22" x14ac:dyDescent="0.3">
      <c r="Q1019" s="5"/>
      <c r="R1019" s="5"/>
      <c r="S1019" s="5"/>
      <c r="T1019" s="5"/>
      <c r="U1019" s="92"/>
      <c r="V1019" s="5"/>
    </row>
    <row r="1020" spans="17:22" x14ac:dyDescent="0.3">
      <c r="Q1020" s="5"/>
      <c r="R1020" s="5"/>
      <c r="S1020" s="5"/>
      <c r="T1020" s="5"/>
      <c r="U1020" s="92"/>
      <c r="V1020" s="5"/>
    </row>
    <row r="1021" spans="17:22" x14ac:dyDescent="0.3">
      <c r="Q1021" s="5"/>
      <c r="R1021" s="5"/>
      <c r="S1021" s="5"/>
      <c r="T1021" s="5"/>
      <c r="U1021" s="92"/>
      <c r="V1021" s="5"/>
    </row>
    <row r="1022" spans="17:22" x14ac:dyDescent="0.3">
      <c r="Q1022" s="5"/>
      <c r="R1022" s="5"/>
      <c r="S1022" s="5"/>
      <c r="T1022" s="5"/>
      <c r="U1022" s="92"/>
      <c r="V1022" s="5"/>
    </row>
    <row r="1023" spans="17:22" x14ac:dyDescent="0.3">
      <c r="Q1023" s="5"/>
      <c r="R1023" s="5"/>
      <c r="S1023" s="5"/>
      <c r="T1023" s="5"/>
      <c r="U1023" s="92"/>
      <c r="V1023" s="5"/>
    </row>
    <row r="1024" spans="17:22" x14ac:dyDescent="0.3">
      <c r="Q1024" s="5"/>
      <c r="R1024" s="5"/>
      <c r="S1024" s="5"/>
      <c r="T1024" s="5"/>
      <c r="U1024" s="92"/>
      <c r="V1024" s="5"/>
    </row>
    <row r="1025" spans="17:22" x14ac:dyDescent="0.3">
      <c r="Q1025" s="5"/>
      <c r="R1025" s="5"/>
      <c r="S1025" s="5"/>
      <c r="T1025" s="5"/>
      <c r="U1025" s="92"/>
      <c r="V1025" s="5"/>
    </row>
    <row r="1026" spans="17:22" x14ac:dyDescent="0.3">
      <c r="Q1026" s="5"/>
      <c r="R1026" s="5"/>
      <c r="S1026" s="5"/>
      <c r="T1026" s="5"/>
      <c r="U1026" s="92"/>
      <c r="V1026" s="5"/>
    </row>
    <row r="1027" spans="17:22" x14ac:dyDescent="0.3">
      <c r="Q1027" s="5"/>
      <c r="R1027" s="5"/>
      <c r="S1027" s="5"/>
      <c r="T1027" s="5"/>
      <c r="U1027" s="92"/>
      <c r="V1027" s="5"/>
    </row>
    <row r="1028" spans="17:22" x14ac:dyDescent="0.3">
      <c r="Q1028" s="5"/>
      <c r="R1028" s="5"/>
      <c r="S1028" s="5"/>
      <c r="T1028" s="5"/>
      <c r="U1028" s="92"/>
      <c r="V1028" s="5"/>
    </row>
    <row r="1029" spans="17:22" x14ac:dyDescent="0.3">
      <c r="Q1029" s="5"/>
      <c r="R1029" s="5"/>
      <c r="S1029" s="5"/>
      <c r="T1029" s="5"/>
      <c r="U1029" s="92"/>
      <c r="V1029" s="5"/>
    </row>
    <row r="1030" spans="17:22" x14ac:dyDescent="0.3">
      <c r="Q1030" s="5"/>
      <c r="R1030" s="5"/>
      <c r="S1030" s="5"/>
      <c r="T1030" s="5"/>
      <c r="U1030" s="92"/>
      <c r="V1030" s="5"/>
    </row>
    <row r="1031" spans="17:22" x14ac:dyDescent="0.3">
      <c r="Q1031" s="5"/>
      <c r="R1031" s="5"/>
      <c r="S1031" s="5"/>
      <c r="T1031" s="5"/>
      <c r="U1031" s="92"/>
      <c r="V1031" s="5"/>
    </row>
    <row r="1032" spans="17:22" x14ac:dyDescent="0.3">
      <c r="Q1032" s="5"/>
      <c r="R1032" s="5"/>
      <c r="S1032" s="5"/>
      <c r="T1032" s="5"/>
      <c r="U1032" s="92"/>
      <c r="V1032" s="5"/>
    </row>
    <row r="1033" spans="17:22" x14ac:dyDescent="0.3">
      <c r="Q1033" s="5"/>
      <c r="R1033" s="5"/>
      <c r="S1033" s="5"/>
      <c r="T1033" s="5"/>
      <c r="U1033" s="92"/>
      <c r="V1033" s="5"/>
    </row>
    <row r="1034" spans="17:22" x14ac:dyDescent="0.3">
      <c r="Q1034" s="5"/>
      <c r="R1034" s="5"/>
      <c r="S1034" s="5"/>
      <c r="T1034" s="5"/>
      <c r="U1034" s="92"/>
      <c r="V1034" s="5"/>
    </row>
    <row r="1035" spans="17:22" x14ac:dyDescent="0.3">
      <c r="Q1035" s="5"/>
      <c r="R1035" s="5"/>
      <c r="S1035" s="5"/>
      <c r="T1035" s="5"/>
      <c r="U1035" s="92"/>
      <c r="V1035" s="5"/>
    </row>
    <row r="1036" spans="17:22" x14ac:dyDescent="0.3">
      <c r="Q1036" s="5"/>
      <c r="R1036" s="5"/>
      <c r="S1036" s="5"/>
      <c r="T1036" s="5"/>
      <c r="U1036" s="92"/>
      <c r="V1036" s="5"/>
    </row>
    <row r="1037" spans="17:22" x14ac:dyDescent="0.3">
      <c r="Q1037" s="5"/>
      <c r="R1037" s="5"/>
      <c r="S1037" s="5"/>
      <c r="T1037" s="5"/>
      <c r="U1037" s="92"/>
      <c r="V1037" s="5"/>
    </row>
    <row r="1038" spans="17:22" x14ac:dyDescent="0.3">
      <c r="Q1038" s="5"/>
      <c r="R1038" s="5"/>
      <c r="S1038" s="5"/>
      <c r="T1038" s="5"/>
      <c r="U1038" s="92"/>
      <c r="V1038" s="5"/>
    </row>
    <row r="1039" spans="17:22" x14ac:dyDescent="0.3">
      <c r="Q1039" s="5"/>
      <c r="R1039" s="5"/>
      <c r="S1039" s="5"/>
      <c r="T1039" s="5"/>
      <c r="U1039" s="92"/>
      <c r="V1039" s="5"/>
    </row>
    <row r="1040" spans="17:22" x14ac:dyDescent="0.3">
      <c r="Q1040" s="5"/>
      <c r="R1040" s="5"/>
      <c r="S1040" s="5"/>
      <c r="T1040" s="5"/>
      <c r="U1040" s="92"/>
      <c r="V1040" s="5"/>
    </row>
    <row r="1041" spans="17:22" x14ac:dyDescent="0.3">
      <c r="Q1041" s="5"/>
      <c r="R1041" s="5"/>
      <c r="S1041" s="5"/>
      <c r="T1041" s="5"/>
      <c r="U1041" s="92"/>
      <c r="V1041" s="5"/>
    </row>
    <row r="1042" spans="17:22" x14ac:dyDescent="0.3">
      <c r="Q1042" s="5"/>
      <c r="R1042" s="5"/>
      <c r="S1042" s="5"/>
      <c r="T1042" s="5"/>
      <c r="U1042" s="92"/>
      <c r="V1042" s="5"/>
    </row>
    <row r="1043" spans="17:22" x14ac:dyDescent="0.3">
      <c r="Q1043" s="5"/>
      <c r="R1043" s="5"/>
      <c r="S1043" s="5"/>
      <c r="T1043" s="5"/>
      <c r="U1043" s="92"/>
      <c r="V1043" s="5"/>
    </row>
    <row r="1044" spans="17:22" x14ac:dyDescent="0.3">
      <c r="Q1044" s="5"/>
      <c r="R1044" s="5"/>
      <c r="S1044" s="5"/>
      <c r="T1044" s="5"/>
      <c r="U1044" s="92"/>
      <c r="V1044" s="5"/>
    </row>
    <row r="1045" spans="17:22" x14ac:dyDescent="0.3">
      <c r="Q1045" s="5"/>
      <c r="R1045" s="5"/>
      <c r="S1045" s="5"/>
      <c r="T1045" s="5"/>
      <c r="U1045" s="92"/>
      <c r="V1045" s="5"/>
    </row>
    <row r="1046" spans="17:22" x14ac:dyDescent="0.3">
      <c r="Q1046" s="5"/>
      <c r="R1046" s="5"/>
      <c r="S1046" s="5"/>
      <c r="T1046" s="5"/>
      <c r="U1046" s="92"/>
      <c r="V1046" s="5"/>
    </row>
    <row r="1047" spans="17:22" x14ac:dyDescent="0.3">
      <c r="Q1047" s="5"/>
      <c r="R1047" s="5"/>
      <c r="S1047" s="5"/>
      <c r="T1047" s="5"/>
      <c r="U1047" s="92"/>
      <c r="V1047" s="5"/>
    </row>
    <row r="1048" spans="17:22" x14ac:dyDescent="0.3">
      <c r="Q1048" s="5"/>
      <c r="R1048" s="5"/>
      <c r="S1048" s="5"/>
      <c r="T1048" s="5"/>
      <c r="U1048" s="92"/>
      <c r="V1048" s="5"/>
    </row>
    <row r="1049" spans="17:22" x14ac:dyDescent="0.3">
      <c r="Q1049" s="5"/>
      <c r="R1049" s="5"/>
      <c r="S1049" s="5"/>
      <c r="T1049" s="5"/>
      <c r="U1049" s="92"/>
      <c r="V1049" s="5"/>
    </row>
    <row r="1050" spans="17:22" x14ac:dyDescent="0.3">
      <c r="Q1050" s="5"/>
      <c r="R1050" s="5"/>
      <c r="S1050" s="5"/>
      <c r="T1050" s="5"/>
      <c r="U1050" s="92"/>
      <c r="V1050" s="5"/>
    </row>
    <row r="1051" spans="17:22" x14ac:dyDescent="0.3">
      <c r="Q1051" s="5"/>
      <c r="R1051" s="5"/>
      <c r="S1051" s="5"/>
      <c r="T1051" s="5"/>
      <c r="U1051" s="92"/>
      <c r="V1051" s="5"/>
    </row>
    <row r="1052" spans="17:22" x14ac:dyDescent="0.3">
      <c r="Q1052" s="5"/>
      <c r="R1052" s="5"/>
      <c r="S1052" s="5"/>
      <c r="T1052" s="5"/>
      <c r="U1052" s="92"/>
      <c r="V1052" s="5"/>
    </row>
    <row r="1053" spans="17:22" x14ac:dyDescent="0.3">
      <c r="Q1053" s="5"/>
      <c r="R1053" s="5"/>
      <c r="S1053" s="5"/>
      <c r="T1053" s="5"/>
      <c r="U1053" s="92"/>
      <c r="V1053" s="5"/>
    </row>
    <row r="1054" spans="17:22" x14ac:dyDescent="0.3">
      <c r="Q1054" s="5"/>
      <c r="R1054" s="5"/>
      <c r="S1054" s="5"/>
      <c r="T1054" s="5"/>
      <c r="U1054" s="92"/>
      <c r="V1054" s="5"/>
    </row>
    <row r="1055" spans="17:22" x14ac:dyDescent="0.3">
      <c r="Q1055" s="5"/>
      <c r="R1055" s="5"/>
      <c r="S1055" s="5"/>
      <c r="T1055" s="5"/>
      <c r="U1055" s="92"/>
      <c r="V1055" s="5"/>
    </row>
    <row r="1056" spans="17:22" x14ac:dyDescent="0.3">
      <c r="Q1056" s="5"/>
      <c r="R1056" s="5"/>
      <c r="S1056" s="5"/>
      <c r="T1056" s="5"/>
      <c r="U1056" s="92"/>
      <c r="V1056" s="5"/>
    </row>
    <row r="1057" spans="17:22" x14ac:dyDescent="0.3">
      <c r="Q1057" s="5"/>
      <c r="R1057" s="5"/>
      <c r="S1057" s="5"/>
      <c r="T1057" s="5"/>
      <c r="U1057" s="92"/>
      <c r="V1057" s="5"/>
    </row>
    <row r="1058" spans="17:22" x14ac:dyDescent="0.3">
      <c r="Q1058" s="5"/>
      <c r="R1058" s="5"/>
      <c r="S1058" s="5"/>
      <c r="T1058" s="5"/>
      <c r="U1058" s="92"/>
      <c r="V1058" s="5"/>
    </row>
    <row r="1059" spans="17:22" x14ac:dyDescent="0.3">
      <c r="Q1059" s="5"/>
      <c r="R1059" s="5"/>
      <c r="S1059" s="5"/>
      <c r="T1059" s="5"/>
      <c r="U1059" s="92"/>
      <c r="V1059" s="5"/>
    </row>
    <row r="1060" spans="17:22" x14ac:dyDescent="0.3">
      <c r="Q1060" s="5"/>
      <c r="R1060" s="5"/>
      <c r="S1060" s="5"/>
      <c r="T1060" s="5"/>
      <c r="U1060" s="92"/>
      <c r="V1060" s="5"/>
    </row>
    <row r="1061" spans="17:22" x14ac:dyDescent="0.3">
      <c r="Q1061" s="5"/>
      <c r="R1061" s="5"/>
      <c r="S1061" s="5"/>
      <c r="T1061" s="5"/>
      <c r="U1061" s="92"/>
      <c r="V1061" s="5"/>
    </row>
    <row r="1062" spans="17:22" x14ac:dyDescent="0.3">
      <c r="Q1062" s="5"/>
      <c r="R1062" s="5"/>
      <c r="S1062" s="5"/>
      <c r="T1062" s="5"/>
      <c r="U1062" s="92"/>
      <c r="V1062" s="5"/>
    </row>
    <row r="1063" spans="17:22" x14ac:dyDescent="0.3">
      <c r="Q1063" s="5"/>
      <c r="R1063" s="5"/>
      <c r="S1063" s="5"/>
      <c r="T1063" s="5"/>
      <c r="U1063" s="92"/>
      <c r="V1063" s="5"/>
    </row>
    <row r="1064" spans="17:22" x14ac:dyDescent="0.3">
      <c r="Q1064" s="5"/>
      <c r="R1064" s="5"/>
      <c r="S1064" s="5"/>
      <c r="T1064" s="5"/>
      <c r="U1064" s="92"/>
      <c r="V1064" s="5"/>
    </row>
    <row r="1065" spans="17:22" x14ac:dyDescent="0.3">
      <c r="Q1065" s="5"/>
      <c r="R1065" s="5"/>
      <c r="S1065" s="5"/>
      <c r="T1065" s="5"/>
      <c r="U1065" s="92"/>
      <c r="V1065" s="5"/>
    </row>
    <row r="1066" spans="17:22" x14ac:dyDescent="0.3">
      <c r="Q1066" s="5"/>
      <c r="R1066" s="5"/>
      <c r="S1066" s="5"/>
      <c r="T1066" s="5"/>
      <c r="U1066" s="92"/>
      <c r="V1066" s="5"/>
    </row>
    <row r="1067" spans="17:22" x14ac:dyDescent="0.3">
      <c r="Q1067" s="5"/>
      <c r="R1067" s="5"/>
      <c r="S1067" s="5"/>
      <c r="T1067" s="5"/>
      <c r="U1067" s="92"/>
      <c r="V1067" s="5"/>
    </row>
    <row r="1068" spans="17:22" x14ac:dyDescent="0.3">
      <c r="Q1068" s="5"/>
      <c r="R1068" s="5"/>
      <c r="S1068" s="5"/>
      <c r="T1068" s="5"/>
      <c r="U1068" s="92"/>
      <c r="V1068" s="5"/>
    </row>
    <row r="1069" spans="17:22" x14ac:dyDescent="0.3">
      <c r="Q1069" s="5"/>
      <c r="R1069" s="5"/>
      <c r="S1069" s="5"/>
      <c r="T1069" s="5"/>
      <c r="U1069" s="92"/>
      <c r="V1069" s="5"/>
    </row>
    <row r="1070" spans="17:22" x14ac:dyDescent="0.3">
      <c r="Q1070" s="5"/>
      <c r="R1070" s="5"/>
      <c r="S1070" s="5"/>
      <c r="T1070" s="5"/>
      <c r="U1070" s="92"/>
      <c r="V1070" s="5"/>
    </row>
    <row r="1071" spans="17:22" x14ac:dyDescent="0.3">
      <c r="Q1071" s="5"/>
      <c r="R1071" s="5"/>
      <c r="S1071" s="5"/>
      <c r="T1071" s="5"/>
      <c r="U1071" s="92"/>
      <c r="V1071" s="5"/>
    </row>
    <row r="1072" spans="17:22" x14ac:dyDescent="0.3">
      <c r="Q1072" s="5"/>
      <c r="R1072" s="5"/>
      <c r="S1072" s="5"/>
      <c r="T1072" s="5"/>
      <c r="U1072" s="92"/>
      <c r="V1072" s="5"/>
    </row>
    <row r="1073" spans="17:22" x14ac:dyDescent="0.3">
      <c r="Q1073" s="5"/>
      <c r="R1073" s="5"/>
      <c r="S1073" s="5"/>
      <c r="T1073" s="5"/>
      <c r="U1073" s="92"/>
      <c r="V1073" s="5"/>
    </row>
    <row r="1074" spans="17:22" x14ac:dyDescent="0.3">
      <c r="Q1074" s="5"/>
      <c r="R1074" s="5"/>
      <c r="S1074" s="5"/>
      <c r="T1074" s="5"/>
      <c r="U1074" s="92"/>
      <c r="V1074" s="5"/>
    </row>
    <row r="1075" spans="17:22" x14ac:dyDescent="0.3">
      <c r="Q1075" s="5"/>
      <c r="R1075" s="5"/>
      <c r="S1075" s="5"/>
      <c r="T1075" s="5"/>
      <c r="U1075" s="92"/>
      <c r="V1075" s="5"/>
    </row>
    <row r="1076" spans="17:22" x14ac:dyDescent="0.3">
      <c r="Q1076" s="5"/>
      <c r="R1076" s="5"/>
      <c r="S1076" s="5"/>
      <c r="T1076" s="5"/>
      <c r="U1076" s="92"/>
      <c r="V1076" s="5"/>
    </row>
    <row r="1077" spans="17:22" x14ac:dyDescent="0.3">
      <c r="Q1077" s="5"/>
      <c r="R1077" s="5"/>
      <c r="S1077" s="5"/>
      <c r="T1077" s="5"/>
      <c r="U1077" s="92"/>
      <c r="V1077" s="5"/>
    </row>
    <row r="1078" spans="17:22" x14ac:dyDescent="0.3">
      <c r="Q1078" s="5"/>
      <c r="R1078" s="5"/>
      <c r="S1078" s="5"/>
      <c r="T1078" s="5"/>
      <c r="U1078" s="92"/>
      <c r="V1078" s="5"/>
    </row>
    <row r="1079" spans="17:22" x14ac:dyDescent="0.3">
      <c r="Q1079" s="5"/>
      <c r="R1079" s="5"/>
      <c r="S1079" s="5"/>
      <c r="T1079" s="5"/>
      <c r="U1079" s="92"/>
      <c r="V1079" s="5"/>
    </row>
    <row r="1080" spans="17:22" x14ac:dyDescent="0.3">
      <c r="Q1080" s="5"/>
      <c r="R1080" s="5"/>
      <c r="S1080" s="5"/>
      <c r="T1080" s="5"/>
      <c r="U1080" s="92"/>
      <c r="V1080" s="5"/>
    </row>
    <row r="1081" spans="17:22" x14ac:dyDescent="0.3">
      <c r="Q1081" s="5"/>
      <c r="R1081" s="5"/>
      <c r="S1081" s="5"/>
      <c r="T1081" s="5"/>
      <c r="U1081" s="92"/>
      <c r="V1081" s="5"/>
    </row>
    <row r="1082" spans="17:22" x14ac:dyDescent="0.3">
      <c r="Q1082" s="5"/>
      <c r="R1082" s="5"/>
      <c r="S1082" s="5"/>
      <c r="T1082" s="5"/>
      <c r="U1082" s="92"/>
      <c r="V1082" s="5"/>
    </row>
    <row r="1083" spans="17:22" x14ac:dyDescent="0.3">
      <c r="Q1083" s="5"/>
      <c r="R1083" s="5"/>
      <c r="S1083" s="5"/>
      <c r="T1083" s="5"/>
      <c r="U1083" s="92"/>
      <c r="V1083" s="5"/>
    </row>
    <row r="1084" spans="17:22" x14ac:dyDescent="0.3">
      <c r="Q1084" s="5"/>
      <c r="R1084" s="5"/>
      <c r="S1084" s="5"/>
      <c r="T1084" s="5"/>
      <c r="U1084" s="92"/>
      <c r="V1084" s="5"/>
    </row>
    <row r="1085" spans="17:22" x14ac:dyDescent="0.3">
      <c r="Q1085" s="5"/>
      <c r="R1085" s="5"/>
      <c r="S1085" s="5"/>
      <c r="T1085" s="5"/>
      <c r="U1085" s="92"/>
      <c r="V1085" s="5"/>
    </row>
    <row r="1086" spans="17:22" x14ac:dyDescent="0.3">
      <c r="Q1086" s="5"/>
      <c r="R1086" s="5"/>
      <c r="S1086" s="5"/>
      <c r="T1086" s="5"/>
      <c r="U1086" s="92"/>
      <c r="V1086" s="5"/>
    </row>
    <row r="1087" spans="17:22" x14ac:dyDescent="0.3">
      <c r="Q1087" s="5"/>
      <c r="R1087" s="5"/>
      <c r="S1087" s="5"/>
      <c r="T1087" s="5"/>
      <c r="U1087" s="92"/>
      <c r="V1087" s="5"/>
    </row>
    <row r="1088" spans="17:22" x14ac:dyDescent="0.3">
      <c r="Q1088" s="5"/>
      <c r="R1088" s="5"/>
      <c r="S1088" s="5"/>
      <c r="T1088" s="5"/>
      <c r="U1088" s="92"/>
      <c r="V1088" s="5"/>
    </row>
    <row r="1089" spans="17:22" x14ac:dyDescent="0.3">
      <c r="Q1089" s="5"/>
      <c r="R1089" s="5"/>
      <c r="S1089" s="5"/>
      <c r="T1089" s="5"/>
      <c r="U1089" s="92"/>
      <c r="V1089" s="5"/>
    </row>
    <row r="1090" spans="17:22" x14ac:dyDescent="0.3">
      <c r="Q1090" s="5"/>
      <c r="R1090" s="5"/>
      <c r="S1090" s="5"/>
      <c r="T1090" s="5"/>
      <c r="U1090" s="92"/>
      <c r="V1090" s="5"/>
    </row>
    <row r="1091" spans="17:22" x14ac:dyDescent="0.3">
      <c r="Q1091" s="5"/>
      <c r="R1091" s="5"/>
      <c r="S1091" s="5"/>
      <c r="T1091" s="5"/>
      <c r="U1091" s="92"/>
      <c r="V1091" s="5"/>
    </row>
    <row r="1092" spans="17:22" x14ac:dyDescent="0.3">
      <c r="Q1092" s="5"/>
      <c r="R1092" s="5"/>
      <c r="S1092" s="5"/>
      <c r="T1092" s="5"/>
      <c r="U1092" s="92"/>
      <c r="V1092" s="5"/>
    </row>
    <row r="1093" spans="17:22" x14ac:dyDescent="0.3">
      <c r="Q1093" s="5"/>
      <c r="R1093" s="5"/>
      <c r="S1093" s="5"/>
      <c r="T1093" s="5"/>
      <c r="U1093" s="92"/>
      <c r="V1093" s="5"/>
    </row>
    <row r="1094" spans="17:22" x14ac:dyDescent="0.3">
      <c r="Q1094" s="5"/>
      <c r="R1094" s="5"/>
      <c r="S1094" s="5"/>
      <c r="T1094" s="5"/>
      <c r="U1094" s="92"/>
      <c r="V1094" s="5"/>
    </row>
    <row r="1095" spans="17:22" x14ac:dyDescent="0.3">
      <c r="Q1095" s="5"/>
      <c r="R1095" s="5"/>
      <c r="S1095" s="5"/>
      <c r="T1095" s="5"/>
      <c r="U1095" s="92"/>
      <c r="V1095" s="5"/>
    </row>
    <row r="1096" spans="17:22" x14ac:dyDescent="0.3">
      <c r="Q1096" s="5"/>
      <c r="R1096" s="5"/>
      <c r="S1096" s="5"/>
      <c r="T1096" s="5"/>
      <c r="U1096" s="92"/>
      <c r="V1096" s="5"/>
    </row>
    <row r="1097" spans="17:22" x14ac:dyDescent="0.3">
      <c r="Q1097" s="5"/>
      <c r="R1097" s="5"/>
      <c r="S1097" s="5"/>
      <c r="T1097" s="5"/>
      <c r="U1097" s="92"/>
      <c r="V1097" s="5"/>
    </row>
    <row r="1098" spans="17:22" x14ac:dyDescent="0.3">
      <c r="Q1098" s="5"/>
      <c r="R1098" s="5"/>
      <c r="S1098" s="5"/>
      <c r="T1098" s="5"/>
      <c r="U1098" s="92"/>
      <c r="V1098" s="5"/>
    </row>
    <row r="1099" spans="17:22" x14ac:dyDescent="0.3">
      <c r="Q1099" s="5"/>
      <c r="R1099" s="5"/>
      <c r="S1099" s="5"/>
      <c r="T1099" s="5"/>
      <c r="U1099" s="92"/>
      <c r="V1099" s="5"/>
    </row>
    <row r="1100" spans="17:22" x14ac:dyDescent="0.3">
      <c r="Q1100" s="5"/>
      <c r="R1100" s="5"/>
      <c r="S1100" s="5"/>
      <c r="T1100" s="5"/>
      <c r="U1100" s="92"/>
      <c r="V1100" s="5"/>
    </row>
    <row r="1101" spans="17:22" x14ac:dyDescent="0.3">
      <c r="Q1101" s="5"/>
      <c r="R1101" s="5"/>
      <c r="S1101" s="5"/>
      <c r="T1101" s="5"/>
      <c r="U1101" s="92"/>
      <c r="V1101" s="5"/>
    </row>
    <row r="1102" spans="17:22" x14ac:dyDescent="0.3">
      <c r="Q1102" s="5"/>
      <c r="R1102" s="5"/>
      <c r="S1102" s="5"/>
      <c r="T1102" s="5"/>
      <c r="U1102" s="92"/>
      <c r="V1102" s="5"/>
    </row>
    <row r="1103" spans="17:22" x14ac:dyDescent="0.3">
      <c r="Q1103" s="5"/>
      <c r="R1103" s="5"/>
      <c r="S1103" s="5"/>
      <c r="T1103" s="5"/>
      <c r="U1103" s="92"/>
      <c r="V1103" s="5"/>
    </row>
    <row r="1104" spans="17:22" x14ac:dyDescent="0.3">
      <c r="Q1104" s="5"/>
      <c r="R1104" s="5"/>
      <c r="S1104" s="5"/>
      <c r="T1104" s="5"/>
      <c r="U1104" s="92"/>
      <c r="V1104" s="5"/>
    </row>
    <row r="1105" spans="17:22" x14ac:dyDescent="0.3">
      <c r="Q1105" s="5"/>
      <c r="R1105" s="5"/>
      <c r="S1105" s="5"/>
      <c r="T1105" s="5"/>
      <c r="U1105" s="92"/>
      <c r="V1105" s="5"/>
    </row>
    <row r="1106" spans="17:22" x14ac:dyDescent="0.3">
      <c r="Q1106" s="5"/>
      <c r="R1106" s="5"/>
      <c r="S1106" s="5"/>
      <c r="T1106" s="5"/>
      <c r="U1106" s="92"/>
      <c r="V1106" s="5"/>
    </row>
    <row r="1107" spans="17:22" x14ac:dyDescent="0.3">
      <c r="Q1107" s="5"/>
      <c r="R1107" s="5"/>
      <c r="S1107" s="5"/>
      <c r="T1107" s="5"/>
      <c r="U1107" s="92"/>
      <c r="V1107" s="5"/>
    </row>
    <row r="1108" spans="17:22" x14ac:dyDescent="0.3">
      <c r="Q1108" s="5"/>
      <c r="R1108" s="5"/>
      <c r="S1108" s="5"/>
      <c r="T1108" s="5"/>
      <c r="U1108" s="92"/>
      <c r="V1108" s="5"/>
    </row>
    <row r="1109" spans="17:22" x14ac:dyDescent="0.3">
      <c r="Q1109" s="5"/>
      <c r="R1109" s="5"/>
      <c r="S1109" s="5"/>
      <c r="T1109" s="5"/>
      <c r="U1109" s="92"/>
      <c r="V1109" s="5"/>
    </row>
    <row r="1110" spans="17:22" x14ac:dyDescent="0.3">
      <c r="Q1110" s="5"/>
      <c r="R1110" s="5"/>
      <c r="S1110" s="5"/>
      <c r="T1110" s="5"/>
      <c r="U1110" s="92"/>
      <c r="V1110" s="5"/>
    </row>
    <row r="1111" spans="17:22" x14ac:dyDescent="0.3">
      <c r="Q1111" s="5"/>
      <c r="R1111" s="5"/>
      <c r="S1111" s="5"/>
      <c r="T1111" s="5"/>
      <c r="U1111" s="92"/>
      <c r="V1111" s="5"/>
    </row>
    <row r="1112" spans="17:22" x14ac:dyDescent="0.3">
      <c r="Q1112" s="5"/>
      <c r="R1112" s="5"/>
      <c r="S1112" s="5"/>
      <c r="T1112" s="5"/>
      <c r="U1112" s="92"/>
      <c r="V1112" s="5"/>
    </row>
    <row r="1113" spans="17:22" x14ac:dyDescent="0.3">
      <c r="Q1113" s="5"/>
      <c r="R1113" s="5"/>
      <c r="S1113" s="5"/>
      <c r="T1113" s="5"/>
      <c r="U1113" s="92"/>
      <c r="V1113" s="5"/>
    </row>
    <row r="1114" spans="17:22" x14ac:dyDescent="0.3">
      <c r="Q1114" s="5"/>
      <c r="R1114" s="5"/>
      <c r="S1114" s="5"/>
      <c r="T1114" s="5"/>
      <c r="U1114" s="92"/>
      <c r="V1114" s="5"/>
    </row>
    <row r="1115" spans="17:22" x14ac:dyDescent="0.3">
      <c r="Q1115" s="5"/>
      <c r="R1115" s="5"/>
      <c r="S1115" s="5"/>
      <c r="T1115" s="5"/>
      <c r="U1115" s="92"/>
      <c r="V1115" s="5"/>
    </row>
    <row r="1116" spans="17:22" x14ac:dyDescent="0.3">
      <c r="Q1116" s="5"/>
      <c r="R1116" s="5"/>
      <c r="S1116" s="5"/>
      <c r="T1116" s="5"/>
      <c r="U1116" s="92"/>
      <c r="V1116" s="5"/>
    </row>
    <row r="1117" spans="17:22" x14ac:dyDescent="0.3">
      <c r="Q1117" s="5"/>
      <c r="R1117" s="5"/>
      <c r="S1117" s="5"/>
      <c r="T1117" s="5"/>
      <c r="U1117" s="92"/>
      <c r="V1117" s="5"/>
    </row>
    <row r="1118" spans="17:22" x14ac:dyDescent="0.3">
      <c r="Q1118" s="5"/>
      <c r="R1118" s="5"/>
      <c r="S1118" s="5"/>
      <c r="T1118" s="5"/>
      <c r="U1118" s="92"/>
      <c r="V1118" s="5"/>
    </row>
    <row r="1119" spans="17:22" x14ac:dyDescent="0.3">
      <c r="Q1119" s="5"/>
      <c r="R1119" s="5"/>
      <c r="S1119" s="5"/>
      <c r="T1119" s="5"/>
      <c r="U1119" s="92"/>
      <c r="V1119" s="5"/>
    </row>
    <row r="1120" spans="17:22" x14ac:dyDescent="0.3">
      <c r="Q1120" s="5"/>
      <c r="R1120" s="5"/>
      <c r="S1120" s="5"/>
      <c r="T1120" s="5"/>
      <c r="U1120" s="92"/>
      <c r="V1120" s="5"/>
    </row>
    <row r="1121" spans="17:22" x14ac:dyDescent="0.3">
      <c r="Q1121" s="5"/>
      <c r="R1121" s="5"/>
      <c r="S1121" s="5"/>
      <c r="T1121" s="5"/>
      <c r="U1121" s="92"/>
      <c r="V1121" s="5"/>
    </row>
    <row r="1122" spans="17:22" x14ac:dyDescent="0.3">
      <c r="Q1122" s="5"/>
      <c r="R1122" s="5"/>
      <c r="S1122" s="5"/>
      <c r="T1122" s="5"/>
      <c r="U1122" s="92"/>
      <c r="V1122" s="5"/>
    </row>
    <row r="1123" spans="17:22" x14ac:dyDescent="0.3">
      <c r="Q1123" s="5"/>
      <c r="R1123" s="5"/>
      <c r="S1123" s="5"/>
      <c r="T1123" s="5"/>
      <c r="U1123" s="92"/>
      <c r="V1123" s="5"/>
    </row>
    <row r="1124" spans="17:22" x14ac:dyDescent="0.3">
      <c r="Q1124" s="5"/>
      <c r="R1124" s="5"/>
      <c r="S1124" s="5"/>
      <c r="T1124" s="5"/>
      <c r="U1124" s="92"/>
      <c r="V1124" s="5"/>
    </row>
    <row r="1125" spans="17:22" x14ac:dyDescent="0.3">
      <c r="Q1125" s="5"/>
      <c r="R1125" s="5"/>
      <c r="S1125" s="5"/>
      <c r="T1125" s="5"/>
      <c r="U1125" s="92"/>
      <c r="V1125" s="5"/>
    </row>
    <row r="1126" spans="17:22" x14ac:dyDescent="0.3">
      <c r="Q1126" s="5"/>
      <c r="R1126" s="5"/>
      <c r="S1126" s="5"/>
      <c r="T1126" s="5"/>
      <c r="U1126" s="92"/>
      <c r="V1126" s="5"/>
    </row>
    <row r="1127" spans="17:22" x14ac:dyDescent="0.3">
      <c r="Q1127" s="5"/>
      <c r="R1127" s="5"/>
      <c r="S1127" s="5"/>
      <c r="T1127" s="5"/>
      <c r="U1127" s="92"/>
      <c r="V1127" s="5"/>
    </row>
    <row r="1128" spans="17:22" x14ac:dyDescent="0.3">
      <c r="Q1128" s="5"/>
      <c r="R1128" s="5"/>
      <c r="S1128" s="5"/>
      <c r="T1128" s="5"/>
      <c r="U1128" s="92"/>
      <c r="V1128" s="5"/>
    </row>
    <row r="1129" spans="17:22" x14ac:dyDescent="0.3">
      <c r="Q1129" s="5"/>
      <c r="R1129" s="5"/>
      <c r="S1129" s="5"/>
      <c r="T1129" s="5"/>
      <c r="U1129" s="92"/>
      <c r="V1129" s="5"/>
    </row>
    <row r="1130" spans="17:22" x14ac:dyDescent="0.3">
      <c r="Q1130" s="5"/>
      <c r="R1130" s="5"/>
      <c r="S1130" s="5"/>
      <c r="T1130" s="5"/>
      <c r="U1130" s="92"/>
      <c r="V1130" s="5"/>
    </row>
    <row r="1131" spans="17:22" x14ac:dyDescent="0.3">
      <c r="Q1131" s="5"/>
      <c r="R1131" s="5"/>
      <c r="S1131" s="5"/>
      <c r="T1131" s="5"/>
      <c r="U1131" s="92"/>
      <c r="V1131" s="5"/>
    </row>
    <row r="1132" spans="17:22" x14ac:dyDescent="0.3">
      <c r="Q1132" s="5"/>
      <c r="R1132" s="5"/>
      <c r="S1132" s="5"/>
      <c r="T1132" s="5"/>
      <c r="U1132" s="92"/>
      <c r="V1132" s="5"/>
    </row>
    <row r="1133" spans="17:22" x14ac:dyDescent="0.3">
      <c r="Q1133" s="5"/>
      <c r="R1133" s="5"/>
      <c r="S1133" s="5"/>
      <c r="T1133" s="5"/>
      <c r="U1133" s="92"/>
      <c r="V1133" s="5"/>
    </row>
    <row r="1134" spans="17:22" x14ac:dyDescent="0.3">
      <c r="Q1134" s="5"/>
      <c r="R1134" s="5"/>
      <c r="S1134" s="5"/>
      <c r="T1134" s="5"/>
      <c r="U1134" s="92"/>
      <c r="V1134" s="5"/>
    </row>
    <row r="1135" spans="17:22" x14ac:dyDescent="0.3">
      <c r="Q1135" s="5"/>
      <c r="R1135" s="5"/>
      <c r="S1135" s="5"/>
      <c r="T1135" s="5"/>
      <c r="U1135" s="92"/>
      <c r="V1135" s="5"/>
    </row>
    <row r="1136" spans="17:22" x14ac:dyDescent="0.3">
      <c r="Q1136" s="5"/>
      <c r="R1136" s="5"/>
      <c r="S1136" s="5"/>
      <c r="T1136" s="5"/>
      <c r="U1136" s="92"/>
      <c r="V1136" s="5"/>
    </row>
    <row r="1137" spans="17:22" x14ac:dyDescent="0.3">
      <c r="Q1137" s="5"/>
      <c r="R1137" s="5"/>
      <c r="S1137" s="5"/>
      <c r="T1137" s="5"/>
      <c r="U1137" s="92"/>
      <c r="V1137" s="5"/>
    </row>
    <row r="1138" spans="17:22" x14ac:dyDescent="0.3">
      <c r="Q1138" s="5"/>
      <c r="R1138" s="5"/>
      <c r="S1138" s="5"/>
      <c r="T1138" s="5"/>
      <c r="U1138" s="92"/>
      <c r="V1138" s="5"/>
    </row>
    <row r="1139" spans="17:22" x14ac:dyDescent="0.3">
      <c r="Q1139" s="5"/>
      <c r="R1139" s="5"/>
      <c r="S1139" s="5"/>
      <c r="T1139" s="5"/>
      <c r="U1139" s="92"/>
      <c r="V1139" s="5"/>
    </row>
    <row r="1140" spans="17:22" x14ac:dyDescent="0.3">
      <c r="Q1140" s="5"/>
      <c r="R1140" s="5"/>
      <c r="S1140" s="5"/>
      <c r="T1140" s="5"/>
      <c r="U1140" s="92"/>
      <c r="V1140" s="5"/>
    </row>
    <row r="1141" spans="17:22" x14ac:dyDescent="0.3">
      <c r="Q1141" s="5"/>
      <c r="R1141" s="5"/>
      <c r="S1141" s="5"/>
      <c r="T1141" s="5"/>
      <c r="U1141" s="92"/>
      <c r="V1141" s="5"/>
    </row>
    <row r="1142" spans="17:22" x14ac:dyDescent="0.3">
      <c r="Q1142" s="5"/>
      <c r="R1142" s="5"/>
      <c r="S1142" s="5"/>
      <c r="T1142" s="5"/>
      <c r="U1142" s="92"/>
      <c r="V1142" s="5"/>
    </row>
    <row r="1143" spans="17:22" x14ac:dyDescent="0.3">
      <c r="Q1143" s="5"/>
      <c r="R1143" s="5"/>
      <c r="S1143" s="5"/>
      <c r="T1143" s="5"/>
      <c r="U1143" s="92"/>
      <c r="V1143" s="5"/>
    </row>
    <row r="1144" spans="17:22" x14ac:dyDescent="0.3">
      <c r="Q1144" s="5"/>
      <c r="R1144" s="5"/>
      <c r="S1144" s="5"/>
      <c r="T1144" s="5"/>
      <c r="U1144" s="92"/>
      <c r="V1144" s="5"/>
    </row>
    <row r="1145" spans="17:22" x14ac:dyDescent="0.3">
      <c r="Q1145" s="5"/>
      <c r="R1145" s="5"/>
      <c r="S1145" s="5"/>
      <c r="T1145" s="5"/>
      <c r="U1145" s="92"/>
      <c r="V1145" s="5"/>
    </row>
    <row r="1146" spans="17:22" x14ac:dyDescent="0.3">
      <c r="Q1146" s="5"/>
      <c r="R1146" s="5"/>
      <c r="S1146" s="5"/>
      <c r="T1146" s="5"/>
      <c r="U1146" s="92"/>
      <c r="V1146" s="5"/>
    </row>
    <row r="1147" spans="17:22" x14ac:dyDescent="0.3">
      <c r="Q1147" s="5"/>
      <c r="R1147" s="5"/>
      <c r="S1147" s="5"/>
      <c r="T1147" s="5"/>
      <c r="U1147" s="92"/>
      <c r="V1147" s="5"/>
    </row>
    <row r="1148" spans="17:22" x14ac:dyDescent="0.3">
      <c r="Q1148" s="5"/>
      <c r="R1148" s="5"/>
      <c r="S1148" s="5"/>
      <c r="T1148" s="5"/>
      <c r="U1148" s="92"/>
      <c r="V1148" s="5"/>
    </row>
    <row r="1149" spans="17:22" x14ac:dyDescent="0.3">
      <c r="Q1149" s="5"/>
      <c r="R1149" s="5"/>
      <c r="S1149" s="5"/>
      <c r="T1149" s="5"/>
      <c r="U1149" s="92"/>
      <c r="V1149" s="5"/>
    </row>
    <row r="1150" spans="17:22" x14ac:dyDescent="0.3">
      <c r="Q1150" s="5"/>
      <c r="R1150" s="5"/>
      <c r="S1150" s="5"/>
      <c r="T1150" s="5"/>
      <c r="U1150" s="92"/>
      <c r="V1150" s="5"/>
    </row>
    <row r="1151" spans="17:22" x14ac:dyDescent="0.3">
      <c r="Q1151" s="5"/>
      <c r="R1151" s="5"/>
      <c r="S1151" s="5"/>
      <c r="T1151" s="5"/>
      <c r="U1151" s="92"/>
      <c r="V1151" s="5"/>
    </row>
    <row r="1152" spans="17:22" x14ac:dyDescent="0.3">
      <c r="Q1152" s="5"/>
      <c r="R1152" s="5"/>
      <c r="S1152" s="5"/>
      <c r="T1152" s="5"/>
      <c r="U1152" s="92"/>
      <c r="V1152" s="5"/>
    </row>
    <row r="1153" spans="17:22" x14ac:dyDescent="0.3">
      <c r="Q1153" s="5"/>
      <c r="R1153" s="5"/>
      <c r="S1153" s="5"/>
      <c r="T1153" s="5"/>
      <c r="U1153" s="92"/>
      <c r="V1153" s="5"/>
    </row>
    <row r="1154" spans="17:22" x14ac:dyDescent="0.3">
      <c r="Q1154" s="5"/>
      <c r="R1154" s="5"/>
      <c r="S1154" s="5"/>
      <c r="T1154" s="5"/>
      <c r="U1154" s="92"/>
      <c r="V1154" s="5"/>
    </row>
    <row r="1155" spans="17:22" x14ac:dyDescent="0.3">
      <c r="Q1155" s="5"/>
      <c r="R1155" s="5"/>
      <c r="S1155" s="5"/>
      <c r="T1155" s="5"/>
      <c r="U1155" s="92"/>
      <c r="V1155" s="5"/>
    </row>
    <row r="1156" spans="17:22" x14ac:dyDescent="0.3">
      <c r="Q1156" s="5"/>
      <c r="R1156" s="5"/>
      <c r="S1156" s="5"/>
      <c r="T1156" s="5"/>
      <c r="U1156" s="92"/>
      <c r="V1156" s="5"/>
    </row>
    <row r="1157" spans="17:22" x14ac:dyDescent="0.3">
      <c r="Q1157" s="5"/>
      <c r="R1157" s="5"/>
      <c r="S1157" s="5"/>
      <c r="T1157" s="5"/>
      <c r="U1157" s="92"/>
      <c r="V1157" s="5"/>
    </row>
    <row r="1158" spans="17:22" x14ac:dyDescent="0.3">
      <c r="Q1158" s="5"/>
      <c r="R1158" s="5"/>
      <c r="S1158" s="5"/>
      <c r="T1158" s="5"/>
      <c r="U1158" s="92"/>
      <c r="V1158" s="5"/>
    </row>
    <row r="1159" spans="17:22" x14ac:dyDescent="0.3">
      <c r="Q1159" s="5"/>
      <c r="R1159" s="5"/>
      <c r="S1159" s="5"/>
      <c r="T1159" s="5"/>
      <c r="U1159" s="92"/>
      <c r="V1159" s="5"/>
    </row>
    <row r="1160" spans="17:22" x14ac:dyDescent="0.3">
      <c r="Q1160" s="5"/>
      <c r="R1160" s="5"/>
      <c r="S1160" s="5"/>
      <c r="T1160" s="5"/>
      <c r="U1160" s="92"/>
      <c r="V1160" s="5"/>
    </row>
    <row r="1161" spans="17:22" x14ac:dyDescent="0.3">
      <c r="Q1161" s="5"/>
      <c r="R1161" s="5"/>
      <c r="S1161" s="5"/>
      <c r="T1161" s="5"/>
      <c r="U1161" s="92"/>
      <c r="V1161" s="5"/>
    </row>
    <row r="1162" spans="17:22" x14ac:dyDescent="0.3">
      <c r="Q1162" s="5"/>
      <c r="R1162" s="5"/>
      <c r="S1162" s="5"/>
      <c r="T1162" s="5"/>
      <c r="U1162" s="92"/>
      <c r="V1162" s="5"/>
    </row>
    <row r="1163" spans="17:22" x14ac:dyDescent="0.3">
      <c r="Q1163" s="5"/>
      <c r="R1163" s="5"/>
      <c r="S1163" s="5"/>
      <c r="T1163" s="5"/>
      <c r="U1163" s="92"/>
      <c r="V1163" s="5"/>
    </row>
    <row r="1164" spans="17:22" x14ac:dyDescent="0.3">
      <c r="Q1164" s="5"/>
      <c r="R1164" s="5"/>
      <c r="S1164" s="5"/>
      <c r="T1164" s="5"/>
      <c r="U1164" s="92"/>
      <c r="V1164" s="5"/>
    </row>
    <row r="1165" spans="17:22" x14ac:dyDescent="0.3">
      <c r="Q1165" s="5"/>
      <c r="R1165" s="5"/>
      <c r="S1165" s="5"/>
      <c r="T1165" s="5"/>
      <c r="U1165" s="92"/>
      <c r="V1165" s="5"/>
    </row>
    <row r="1166" spans="17:22" x14ac:dyDescent="0.3">
      <c r="Q1166" s="5"/>
      <c r="R1166" s="5"/>
      <c r="S1166" s="5"/>
      <c r="T1166" s="5"/>
      <c r="U1166" s="92"/>
      <c r="V1166" s="5"/>
    </row>
    <row r="1167" spans="17:22" x14ac:dyDescent="0.3">
      <c r="Q1167" s="5"/>
      <c r="R1167" s="5"/>
      <c r="S1167" s="5"/>
      <c r="T1167" s="5"/>
      <c r="U1167" s="92"/>
      <c r="V1167" s="5"/>
    </row>
    <row r="1168" spans="17:22" x14ac:dyDescent="0.3">
      <c r="Q1168" s="5"/>
      <c r="R1168" s="5"/>
      <c r="S1168" s="5"/>
      <c r="T1168" s="5"/>
      <c r="U1168" s="92"/>
      <c r="V1168" s="5"/>
    </row>
    <row r="1169" spans="17:22" x14ac:dyDescent="0.3">
      <c r="Q1169" s="5"/>
      <c r="R1169" s="5"/>
      <c r="S1169" s="5"/>
      <c r="T1169" s="5"/>
      <c r="U1169" s="92"/>
      <c r="V1169" s="5"/>
    </row>
    <row r="1170" spans="17:22" x14ac:dyDescent="0.3">
      <c r="Q1170" s="5"/>
      <c r="R1170" s="5"/>
      <c r="S1170" s="5"/>
      <c r="T1170" s="5"/>
      <c r="U1170" s="92"/>
      <c r="V1170" s="5"/>
    </row>
    <row r="1171" spans="17:22" x14ac:dyDescent="0.3">
      <c r="Q1171" s="5"/>
      <c r="R1171" s="5"/>
      <c r="S1171" s="5"/>
      <c r="T1171" s="5"/>
      <c r="U1171" s="92"/>
      <c r="V1171" s="5"/>
    </row>
    <row r="1172" spans="17:22" x14ac:dyDescent="0.3">
      <c r="Q1172" s="5"/>
      <c r="R1172" s="5"/>
      <c r="S1172" s="5"/>
      <c r="T1172" s="5"/>
      <c r="U1172" s="92"/>
      <c r="V1172" s="5"/>
    </row>
    <row r="1173" spans="17:22" x14ac:dyDescent="0.3">
      <c r="Q1173" s="5"/>
      <c r="R1173" s="5"/>
      <c r="S1173" s="5"/>
      <c r="T1173" s="5"/>
      <c r="U1173" s="92"/>
      <c r="V1173" s="5"/>
    </row>
    <row r="1174" spans="17:22" x14ac:dyDescent="0.3">
      <c r="Q1174" s="5"/>
      <c r="R1174" s="5"/>
      <c r="S1174" s="5"/>
      <c r="T1174" s="5"/>
      <c r="U1174" s="92"/>
      <c r="V1174" s="5"/>
    </row>
    <row r="1175" spans="17:22" x14ac:dyDescent="0.3">
      <c r="Q1175" s="5"/>
      <c r="R1175" s="5"/>
      <c r="S1175" s="5"/>
      <c r="T1175" s="5"/>
      <c r="U1175" s="92"/>
      <c r="V1175" s="5"/>
    </row>
    <row r="1176" spans="17:22" x14ac:dyDescent="0.3">
      <c r="Q1176" s="5"/>
      <c r="R1176" s="5"/>
      <c r="S1176" s="5"/>
      <c r="T1176" s="5"/>
      <c r="U1176" s="92"/>
      <c r="V1176" s="5"/>
    </row>
    <row r="1177" spans="17:22" x14ac:dyDescent="0.3">
      <c r="Q1177" s="5"/>
      <c r="R1177" s="5"/>
      <c r="S1177" s="5"/>
      <c r="T1177" s="5"/>
      <c r="U1177" s="92"/>
      <c r="V1177" s="5"/>
    </row>
    <row r="1178" spans="17:22" x14ac:dyDescent="0.3">
      <c r="Q1178" s="5"/>
      <c r="R1178" s="5"/>
      <c r="S1178" s="5"/>
      <c r="T1178" s="5"/>
      <c r="U1178" s="92"/>
      <c r="V1178" s="5"/>
    </row>
    <row r="1179" spans="17:22" x14ac:dyDescent="0.3">
      <c r="Q1179" s="5"/>
      <c r="R1179" s="5"/>
      <c r="S1179" s="5"/>
      <c r="T1179" s="5"/>
      <c r="U1179" s="92"/>
      <c r="V1179" s="5"/>
    </row>
    <row r="1180" spans="17:22" x14ac:dyDescent="0.3">
      <c r="Q1180" s="5"/>
      <c r="R1180" s="5"/>
      <c r="S1180" s="5"/>
      <c r="T1180" s="5"/>
      <c r="U1180" s="92"/>
      <c r="V1180" s="5"/>
    </row>
    <row r="1181" spans="17:22" x14ac:dyDescent="0.3">
      <c r="Q1181" s="5"/>
      <c r="R1181" s="5"/>
      <c r="S1181" s="5"/>
      <c r="T1181" s="5"/>
      <c r="U1181" s="92"/>
      <c r="V1181" s="5"/>
    </row>
    <row r="1182" spans="17:22" x14ac:dyDescent="0.3">
      <c r="Q1182" s="5"/>
      <c r="R1182" s="5"/>
      <c r="S1182" s="5"/>
      <c r="T1182" s="5"/>
      <c r="U1182" s="92"/>
      <c r="V1182" s="5"/>
    </row>
    <row r="1183" spans="17:22" x14ac:dyDescent="0.3">
      <c r="Q1183" s="5"/>
      <c r="R1183" s="5"/>
      <c r="S1183" s="5"/>
      <c r="T1183" s="5"/>
      <c r="U1183" s="92"/>
      <c r="V1183" s="5"/>
    </row>
    <row r="1184" spans="17:22" x14ac:dyDescent="0.3">
      <c r="Q1184" s="5"/>
      <c r="R1184" s="5"/>
      <c r="S1184" s="5"/>
      <c r="T1184" s="5"/>
      <c r="U1184" s="92"/>
      <c r="V1184" s="5"/>
    </row>
    <row r="1185" spans="17:22" x14ac:dyDescent="0.3">
      <c r="Q1185" s="5"/>
      <c r="R1185" s="5"/>
      <c r="S1185" s="5"/>
      <c r="T1185" s="5"/>
      <c r="U1185" s="92"/>
      <c r="V1185" s="5"/>
    </row>
    <row r="1186" spans="17:22" x14ac:dyDescent="0.3">
      <c r="Q1186" s="5"/>
      <c r="R1186" s="5"/>
      <c r="S1186" s="5"/>
      <c r="T1186" s="5"/>
      <c r="U1186" s="92"/>
      <c r="V1186" s="5"/>
    </row>
    <row r="1187" spans="17:22" x14ac:dyDescent="0.3">
      <c r="Q1187" s="5"/>
      <c r="R1187" s="5"/>
      <c r="S1187" s="5"/>
      <c r="T1187" s="5"/>
      <c r="U1187" s="92"/>
      <c r="V1187" s="5"/>
    </row>
    <row r="1188" spans="17:22" x14ac:dyDescent="0.3">
      <c r="Q1188" s="5"/>
      <c r="R1188" s="5"/>
      <c r="S1188" s="5"/>
      <c r="T1188" s="5"/>
      <c r="U1188" s="92"/>
      <c r="V1188" s="5"/>
    </row>
    <row r="1189" spans="17:22" x14ac:dyDescent="0.3">
      <c r="Q1189" s="5"/>
      <c r="R1189" s="5"/>
      <c r="S1189" s="5"/>
      <c r="T1189" s="5"/>
      <c r="U1189" s="92"/>
      <c r="V1189" s="5"/>
    </row>
    <row r="1190" spans="17:22" x14ac:dyDescent="0.3">
      <c r="Q1190" s="5"/>
      <c r="R1190" s="5"/>
      <c r="S1190" s="5"/>
      <c r="T1190" s="5"/>
      <c r="U1190" s="92"/>
      <c r="V1190" s="5"/>
    </row>
    <row r="1191" spans="17:22" x14ac:dyDescent="0.3">
      <c r="Q1191" s="5"/>
      <c r="R1191" s="5"/>
      <c r="S1191" s="5"/>
      <c r="T1191" s="5"/>
      <c r="U1191" s="92"/>
      <c r="V1191" s="5"/>
    </row>
    <row r="1192" spans="17:22" x14ac:dyDescent="0.3">
      <c r="Q1192" s="5"/>
      <c r="R1192" s="5"/>
      <c r="S1192" s="5"/>
      <c r="T1192" s="5"/>
      <c r="U1192" s="92"/>
      <c r="V1192" s="5"/>
    </row>
    <row r="1193" spans="17:22" x14ac:dyDescent="0.3">
      <c r="Q1193" s="5"/>
      <c r="R1193" s="5"/>
      <c r="S1193" s="5"/>
      <c r="T1193" s="5"/>
      <c r="U1193" s="92"/>
      <c r="V1193" s="5"/>
    </row>
    <row r="1194" spans="17:22" x14ac:dyDescent="0.3">
      <c r="Q1194" s="5"/>
      <c r="R1194" s="5"/>
      <c r="S1194" s="5"/>
      <c r="T1194" s="5"/>
      <c r="U1194" s="92"/>
      <c r="V1194" s="5"/>
    </row>
  </sheetData>
  <sheetProtection algorithmName="SHA-512" hashValue="XdfjVTFTYRhgxgytbSn8B3gz7yM+EuNuB9c5P4LAPfa5N+U0iVeFCl97OWUJ4yBxry1DRVu+TXM3Z/rNbx/DGg==" saltValue="ucsognIl1kj3neBWC/ak9A==" spinCount="100000" sheet="1" selectLockedCells="1"/>
  <mergeCells count="24">
    <mergeCell ref="L2:L3"/>
    <mergeCell ref="N1:O3"/>
    <mergeCell ref="V2:V3"/>
    <mergeCell ref="W2:W3"/>
    <mergeCell ref="Q2:Q3"/>
    <mergeCell ref="P2:P3"/>
    <mergeCell ref="P1:Q1"/>
    <mergeCell ref="R1:S1"/>
    <mergeCell ref="U2:U3"/>
    <mergeCell ref="R2:R3"/>
    <mergeCell ref="S2:S3"/>
    <mergeCell ref="T2:T3"/>
    <mergeCell ref="W1:X1"/>
    <mergeCell ref="X2:X3"/>
    <mergeCell ref="D58:F58"/>
    <mergeCell ref="I58:K58"/>
    <mergeCell ref="C2:C3"/>
    <mergeCell ref="D2:D3"/>
    <mergeCell ref="F2:F3"/>
    <mergeCell ref="I2:I3"/>
    <mergeCell ref="K2:K3"/>
    <mergeCell ref="E2:E3"/>
    <mergeCell ref="G2:G3"/>
    <mergeCell ref="J2:J3"/>
  </mergeCells>
  <printOptions horizontalCentered="1"/>
  <pageMargins left="0.23622047244094491" right="0.23622047244094491" top="0.74803149606299213" bottom="0" header="0.31496062992125984" footer="0.15748031496062992"/>
  <pageSetup paperSize="9" scale="60" orientation="landscape" r:id="rId1"/>
  <ignoredErrors>
    <ignoredError sqref="P34:Q34 W6:X8 W34:X34 P7:Q8 X5 Q5 P10:Q10 W10:X10 P17:Q17 W17:X17 Q20 P38:Q45 W38:X45 P48:Q48 W48:X4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175260</xdr:colOff>
                    <xdr:row>2</xdr:row>
                    <xdr:rowOff>175260</xdr:rowOff>
                  </from>
                  <to>
                    <xdr:col>3</xdr:col>
                    <xdr:colOff>441960</xdr:colOff>
                    <xdr:row>4</xdr:row>
                    <xdr:rowOff>22860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3</xdr:col>
                    <xdr:colOff>175260</xdr:colOff>
                    <xdr:row>4</xdr:row>
                    <xdr:rowOff>7620</xdr:rowOff>
                  </from>
                  <to>
                    <xdr:col>3</xdr:col>
                    <xdr:colOff>373380</xdr:colOff>
                    <xdr:row>4</xdr:row>
                    <xdr:rowOff>175260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3</xdr:col>
                    <xdr:colOff>175260</xdr:colOff>
                    <xdr:row>4</xdr:row>
                    <xdr:rowOff>175260</xdr:rowOff>
                  </from>
                  <to>
                    <xdr:col>3</xdr:col>
                    <xdr:colOff>350520</xdr:colOff>
                    <xdr:row>5</xdr:row>
                    <xdr:rowOff>175260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3</xdr:col>
                    <xdr:colOff>175260</xdr:colOff>
                    <xdr:row>6</xdr:row>
                    <xdr:rowOff>175260</xdr:rowOff>
                  </from>
                  <to>
                    <xdr:col>3</xdr:col>
                    <xdr:colOff>350520</xdr:colOff>
                    <xdr:row>7</xdr:row>
                    <xdr:rowOff>175260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3</xdr:col>
                    <xdr:colOff>175260</xdr:colOff>
                    <xdr:row>5</xdr:row>
                    <xdr:rowOff>175260</xdr:rowOff>
                  </from>
                  <to>
                    <xdr:col>3</xdr:col>
                    <xdr:colOff>373380</xdr:colOff>
                    <xdr:row>6</xdr:row>
                    <xdr:rowOff>175260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3</xdr:col>
                    <xdr:colOff>175260</xdr:colOff>
                    <xdr:row>7</xdr:row>
                    <xdr:rowOff>175260</xdr:rowOff>
                  </from>
                  <to>
                    <xdr:col>3</xdr:col>
                    <xdr:colOff>350520</xdr:colOff>
                    <xdr:row>8</xdr:row>
                    <xdr:rowOff>175260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3</xdr:col>
                    <xdr:colOff>175260</xdr:colOff>
                    <xdr:row>9</xdr:row>
                    <xdr:rowOff>175260</xdr:rowOff>
                  </from>
                  <to>
                    <xdr:col>3</xdr:col>
                    <xdr:colOff>403860</xdr:colOff>
                    <xdr:row>11</xdr:row>
                    <xdr:rowOff>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175260</xdr:colOff>
                    <xdr:row>10</xdr:row>
                    <xdr:rowOff>175260</xdr:rowOff>
                  </from>
                  <to>
                    <xdr:col>3</xdr:col>
                    <xdr:colOff>350520</xdr:colOff>
                    <xdr:row>11</xdr:row>
                    <xdr:rowOff>175260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175260</xdr:colOff>
                    <xdr:row>11</xdr:row>
                    <xdr:rowOff>175260</xdr:rowOff>
                  </from>
                  <to>
                    <xdr:col>3</xdr:col>
                    <xdr:colOff>350520</xdr:colOff>
                    <xdr:row>12</xdr:row>
                    <xdr:rowOff>175260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3</xdr:col>
                    <xdr:colOff>175260</xdr:colOff>
                    <xdr:row>12</xdr:row>
                    <xdr:rowOff>182880</xdr:rowOff>
                  </from>
                  <to>
                    <xdr:col>3</xdr:col>
                    <xdr:colOff>350520</xdr:colOff>
                    <xdr:row>14</xdr:row>
                    <xdr:rowOff>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3</xdr:col>
                    <xdr:colOff>175260</xdr:colOff>
                    <xdr:row>13</xdr:row>
                    <xdr:rowOff>175260</xdr:rowOff>
                  </from>
                  <to>
                    <xdr:col>3</xdr:col>
                    <xdr:colOff>350520</xdr:colOff>
                    <xdr:row>14</xdr:row>
                    <xdr:rowOff>175260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3</xdr:col>
                    <xdr:colOff>175260</xdr:colOff>
                    <xdr:row>14</xdr:row>
                    <xdr:rowOff>175260</xdr:rowOff>
                  </from>
                  <to>
                    <xdr:col>3</xdr:col>
                    <xdr:colOff>365760</xdr:colOff>
                    <xdr:row>15</xdr:row>
                    <xdr:rowOff>175260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3</xdr:col>
                    <xdr:colOff>175260</xdr:colOff>
                    <xdr:row>17</xdr:row>
                    <xdr:rowOff>0</xdr:rowOff>
                  </from>
                  <to>
                    <xdr:col>3</xdr:col>
                    <xdr:colOff>350520</xdr:colOff>
                    <xdr:row>18</xdr:row>
                    <xdr:rowOff>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3</xdr:col>
                    <xdr:colOff>175260</xdr:colOff>
                    <xdr:row>17</xdr:row>
                    <xdr:rowOff>175260</xdr:rowOff>
                  </from>
                  <to>
                    <xdr:col>3</xdr:col>
                    <xdr:colOff>350520</xdr:colOff>
                    <xdr:row>18</xdr:row>
                    <xdr:rowOff>175260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xdr:col>
                    <xdr:colOff>175260</xdr:colOff>
                    <xdr:row>19</xdr:row>
                    <xdr:rowOff>182880</xdr:rowOff>
                  </from>
                  <to>
                    <xdr:col>3</xdr:col>
                    <xdr:colOff>350520</xdr:colOff>
                    <xdr:row>20</xdr:row>
                    <xdr:rowOff>182880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3</xdr:col>
                    <xdr:colOff>175260</xdr:colOff>
                    <xdr:row>20</xdr:row>
                    <xdr:rowOff>182880</xdr:rowOff>
                  </from>
                  <to>
                    <xdr:col>3</xdr:col>
                    <xdr:colOff>350520</xdr:colOff>
                    <xdr:row>22</xdr:row>
                    <xdr:rowOff>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3</xdr:col>
                    <xdr:colOff>175260</xdr:colOff>
                    <xdr:row>22</xdr:row>
                    <xdr:rowOff>7620</xdr:rowOff>
                  </from>
                  <to>
                    <xdr:col>3</xdr:col>
                    <xdr:colOff>350520</xdr:colOff>
                    <xdr:row>23</xdr:row>
                    <xdr:rowOff>7620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3</xdr:col>
                    <xdr:colOff>175260</xdr:colOff>
                    <xdr:row>22</xdr:row>
                    <xdr:rowOff>182880</xdr:rowOff>
                  </from>
                  <to>
                    <xdr:col>3</xdr:col>
                    <xdr:colOff>350520</xdr:colOff>
                    <xdr:row>24</xdr:row>
                    <xdr:rowOff>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3</xdr:col>
                    <xdr:colOff>175260</xdr:colOff>
                    <xdr:row>24</xdr:row>
                    <xdr:rowOff>7620</xdr:rowOff>
                  </from>
                  <to>
                    <xdr:col>3</xdr:col>
                    <xdr:colOff>350520</xdr:colOff>
                    <xdr:row>25</xdr:row>
                    <xdr:rowOff>7620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3</xdr:col>
                    <xdr:colOff>175260</xdr:colOff>
                    <xdr:row>24</xdr:row>
                    <xdr:rowOff>175260</xdr:rowOff>
                  </from>
                  <to>
                    <xdr:col>3</xdr:col>
                    <xdr:colOff>350520</xdr:colOff>
                    <xdr:row>25</xdr:row>
                    <xdr:rowOff>175260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3</xdr:col>
                    <xdr:colOff>175260</xdr:colOff>
                    <xdr:row>25</xdr:row>
                    <xdr:rowOff>175260</xdr:rowOff>
                  </from>
                  <to>
                    <xdr:col>3</xdr:col>
                    <xdr:colOff>365760</xdr:colOff>
                    <xdr:row>26</xdr:row>
                    <xdr:rowOff>175260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3</xdr:col>
                    <xdr:colOff>175260</xdr:colOff>
                    <xdr:row>26</xdr:row>
                    <xdr:rowOff>182880</xdr:rowOff>
                  </from>
                  <to>
                    <xdr:col>3</xdr:col>
                    <xdr:colOff>350520</xdr:colOff>
                    <xdr:row>28</xdr:row>
                    <xdr:rowOff>0</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3</xdr:col>
                    <xdr:colOff>175260</xdr:colOff>
                    <xdr:row>27</xdr:row>
                    <xdr:rowOff>175260</xdr:rowOff>
                  </from>
                  <to>
                    <xdr:col>3</xdr:col>
                    <xdr:colOff>350520</xdr:colOff>
                    <xdr:row>28</xdr:row>
                    <xdr:rowOff>175260</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3</xdr:col>
                    <xdr:colOff>175260</xdr:colOff>
                    <xdr:row>28</xdr:row>
                    <xdr:rowOff>175260</xdr:rowOff>
                  </from>
                  <to>
                    <xdr:col>3</xdr:col>
                    <xdr:colOff>350520</xdr:colOff>
                    <xdr:row>29</xdr:row>
                    <xdr:rowOff>175260</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3</xdr:col>
                    <xdr:colOff>175260</xdr:colOff>
                    <xdr:row>34</xdr:row>
                    <xdr:rowOff>175260</xdr:rowOff>
                  </from>
                  <to>
                    <xdr:col>3</xdr:col>
                    <xdr:colOff>350520</xdr:colOff>
                    <xdr:row>35</xdr:row>
                    <xdr:rowOff>175260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3</xdr:col>
                    <xdr:colOff>175260</xdr:colOff>
                    <xdr:row>35</xdr:row>
                    <xdr:rowOff>175260</xdr:rowOff>
                  </from>
                  <to>
                    <xdr:col>3</xdr:col>
                    <xdr:colOff>350520</xdr:colOff>
                    <xdr:row>36</xdr:row>
                    <xdr:rowOff>175260</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3</xdr:col>
                    <xdr:colOff>175260</xdr:colOff>
                    <xdr:row>37</xdr:row>
                    <xdr:rowOff>0</xdr:rowOff>
                  </from>
                  <to>
                    <xdr:col>3</xdr:col>
                    <xdr:colOff>350520</xdr:colOff>
                    <xdr:row>38</xdr:row>
                    <xdr:rowOff>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3</xdr:col>
                    <xdr:colOff>175260</xdr:colOff>
                    <xdr:row>38</xdr:row>
                    <xdr:rowOff>175260</xdr:rowOff>
                  </from>
                  <to>
                    <xdr:col>3</xdr:col>
                    <xdr:colOff>350520</xdr:colOff>
                    <xdr:row>40</xdr:row>
                    <xdr:rowOff>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175260</xdr:colOff>
                    <xdr:row>39</xdr:row>
                    <xdr:rowOff>175260</xdr:rowOff>
                  </from>
                  <to>
                    <xdr:col>3</xdr:col>
                    <xdr:colOff>350520</xdr:colOff>
                    <xdr:row>40</xdr:row>
                    <xdr:rowOff>175260</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3</xdr:col>
                    <xdr:colOff>175260</xdr:colOff>
                    <xdr:row>41</xdr:row>
                    <xdr:rowOff>7620</xdr:rowOff>
                  </from>
                  <to>
                    <xdr:col>3</xdr:col>
                    <xdr:colOff>350520</xdr:colOff>
                    <xdr:row>42</xdr:row>
                    <xdr:rowOff>7620</xdr:rowOff>
                  </to>
                </anchor>
              </controlPr>
            </control>
          </mc:Choice>
        </mc:AlternateContent>
        <mc:AlternateContent xmlns:mc="http://schemas.openxmlformats.org/markup-compatibility/2006">
          <mc:Choice Requires="x14">
            <control shapeId="1082" r:id="rId34" name="Check Box 58">
              <controlPr defaultSize="0" autoFill="0" autoLine="0" autoPict="0">
                <anchor moveWithCells="1">
                  <from>
                    <xdr:col>3</xdr:col>
                    <xdr:colOff>175260</xdr:colOff>
                    <xdr:row>42</xdr:row>
                    <xdr:rowOff>0</xdr:rowOff>
                  </from>
                  <to>
                    <xdr:col>3</xdr:col>
                    <xdr:colOff>350520</xdr:colOff>
                    <xdr:row>43</xdr:row>
                    <xdr:rowOff>0</xdr:rowOff>
                  </to>
                </anchor>
              </controlPr>
            </control>
          </mc:Choice>
        </mc:AlternateContent>
        <mc:AlternateContent xmlns:mc="http://schemas.openxmlformats.org/markup-compatibility/2006">
          <mc:Choice Requires="x14">
            <control shapeId="1083" r:id="rId35" name="Check Box 59">
              <controlPr defaultSize="0" autoFill="0" autoLine="0" autoPict="0">
                <anchor moveWithCells="1">
                  <from>
                    <xdr:col>3</xdr:col>
                    <xdr:colOff>175260</xdr:colOff>
                    <xdr:row>42</xdr:row>
                    <xdr:rowOff>175260</xdr:rowOff>
                  </from>
                  <to>
                    <xdr:col>3</xdr:col>
                    <xdr:colOff>350520</xdr:colOff>
                    <xdr:row>43</xdr:row>
                    <xdr:rowOff>175260</xdr:rowOff>
                  </to>
                </anchor>
              </controlPr>
            </control>
          </mc:Choice>
        </mc:AlternateContent>
        <mc:AlternateContent xmlns:mc="http://schemas.openxmlformats.org/markup-compatibility/2006">
          <mc:Choice Requires="x14">
            <control shapeId="1084" r:id="rId36" name="Check Box 60">
              <controlPr defaultSize="0" autoFill="0" autoLine="0" autoPict="0">
                <anchor moveWithCells="1">
                  <from>
                    <xdr:col>3</xdr:col>
                    <xdr:colOff>175260</xdr:colOff>
                    <xdr:row>44</xdr:row>
                    <xdr:rowOff>175260</xdr:rowOff>
                  </from>
                  <to>
                    <xdr:col>3</xdr:col>
                    <xdr:colOff>350520</xdr:colOff>
                    <xdr:row>46</xdr:row>
                    <xdr:rowOff>0</xdr:rowOff>
                  </to>
                </anchor>
              </controlPr>
            </control>
          </mc:Choice>
        </mc:AlternateContent>
        <mc:AlternateContent xmlns:mc="http://schemas.openxmlformats.org/markup-compatibility/2006">
          <mc:Choice Requires="x14">
            <control shapeId="1085" r:id="rId37" name="Check Box 61">
              <controlPr defaultSize="0" autoFill="0" autoLine="0" autoPict="0">
                <anchor moveWithCells="1">
                  <from>
                    <xdr:col>3</xdr:col>
                    <xdr:colOff>175260</xdr:colOff>
                    <xdr:row>45</xdr:row>
                    <xdr:rowOff>175260</xdr:rowOff>
                  </from>
                  <to>
                    <xdr:col>3</xdr:col>
                    <xdr:colOff>350520</xdr:colOff>
                    <xdr:row>46</xdr:row>
                    <xdr:rowOff>175260</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3</xdr:col>
                    <xdr:colOff>175260</xdr:colOff>
                    <xdr:row>47</xdr:row>
                    <xdr:rowOff>175260</xdr:rowOff>
                  </from>
                  <to>
                    <xdr:col>3</xdr:col>
                    <xdr:colOff>350520</xdr:colOff>
                    <xdr:row>49</xdr:row>
                    <xdr:rowOff>0</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3</xdr:col>
                    <xdr:colOff>175260</xdr:colOff>
                    <xdr:row>30</xdr:row>
                    <xdr:rowOff>0</xdr:rowOff>
                  </from>
                  <to>
                    <xdr:col>3</xdr:col>
                    <xdr:colOff>350520</xdr:colOff>
                    <xdr:row>31</xdr:row>
                    <xdr:rowOff>0</xdr:rowOff>
                  </to>
                </anchor>
              </controlPr>
            </control>
          </mc:Choice>
        </mc:AlternateContent>
        <mc:AlternateContent xmlns:mc="http://schemas.openxmlformats.org/markup-compatibility/2006">
          <mc:Choice Requires="x14">
            <control shapeId="1090" r:id="rId40" name="Check Box 66">
              <controlPr defaultSize="0" autoFill="0" autoLine="0" autoPict="0">
                <anchor moveWithCells="1">
                  <from>
                    <xdr:col>3</xdr:col>
                    <xdr:colOff>175260</xdr:colOff>
                    <xdr:row>31</xdr:row>
                    <xdr:rowOff>0</xdr:rowOff>
                  </from>
                  <to>
                    <xdr:col>3</xdr:col>
                    <xdr:colOff>350520</xdr:colOff>
                    <xdr:row>32</xdr:row>
                    <xdr:rowOff>0</xdr:rowOff>
                  </to>
                </anchor>
              </controlPr>
            </control>
          </mc:Choice>
        </mc:AlternateContent>
        <mc:AlternateContent xmlns:mc="http://schemas.openxmlformats.org/markup-compatibility/2006">
          <mc:Choice Requires="x14">
            <control shapeId="1094" r:id="rId41" name="Check Box 70">
              <controlPr defaultSize="0" autoFill="0" autoLine="0" autoPict="0">
                <anchor moveWithCells="1">
                  <from>
                    <xdr:col>3</xdr:col>
                    <xdr:colOff>175260</xdr:colOff>
                    <xdr:row>31</xdr:row>
                    <xdr:rowOff>182880</xdr:rowOff>
                  </from>
                  <to>
                    <xdr:col>3</xdr:col>
                    <xdr:colOff>350520</xdr:colOff>
                    <xdr:row>33</xdr:row>
                    <xdr:rowOff>0</xdr:rowOff>
                  </to>
                </anchor>
              </controlPr>
            </control>
          </mc:Choice>
        </mc:AlternateContent>
        <mc:AlternateContent xmlns:mc="http://schemas.openxmlformats.org/markup-compatibility/2006">
          <mc:Choice Requires="x14">
            <control shapeId="1097" r:id="rId42" name="Check Box 73">
              <controlPr defaultSize="0" autoFill="0" autoLine="0" autoPict="0">
                <anchor moveWithCells="1">
                  <from>
                    <xdr:col>3</xdr:col>
                    <xdr:colOff>175260</xdr:colOff>
                    <xdr:row>33</xdr:row>
                    <xdr:rowOff>175260</xdr:rowOff>
                  </from>
                  <to>
                    <xdr:col>3</xdr:col>
                    <xdr:colOff>350520</xdr:colOff>
                    <xdr:row>35</xdr:row>
                    <xdr:rowOff>0</xdr:rowOff>
                  </to>
                </anchor>
              </controlPr>
            </control>
          </mc:Choice>
        </mc:AlternateContent>
        <mc:AlternateContent xmlns:mc="http://schemas.openxmlformats.org/markup-compatibility/2006">
          <mc:Choice Requires="x14">
            <control shapeId="1162" r:id="rId43" name="Check Box 138">
              <controlPr defaultSize="0" autoFill="0" autoLine="0" autoPict="0">
                <anchor moveWithCells="1">
                  <from>
                    <xdr:col>8</xdr:col>
                    <xdr:colOff>175260</xdr:colOff>
                    <xdr:row>2</xdr:row>
                    <xdr:rowOff>175260</xdr:rowOff>
                  </from>
                  <to>
                    <xdr:col>8</xdr:col>
                    <xdr:colOff>441960</xdr:colOff>
                    <xdr:row>4</xdr:row>
                    <xdr:rowOff>22860</xdr:rowOff>
                  </to>
                </anchor>
              </controlPr>
            </control>
          </mc:Choice>
        </mc:AlternateContent>
        <mc:AlternateContent xmlns:mc="http://schemas.openxmlformats.org/markup-compatibility/2006">
          <mc:Choice Requires="x14">
            <control shapeId="1163" r:id="rId44" name="Check Box 139">
              <controlPr defaultSize="0" autoFill="0" autoLine="0" autoPict="0">
                <anchor moveWithCells="1">
                  <from>
                    <xdr:col>8</xdr:col>
                    <xdr:colOff>175260</xdr:colOff>
                    <xdr:row>4</xdr:row>
                    <xdr:rowOff>7620</xdr:rowOff>
                  </from>
                  <to>
                    <xdr:col>8</xdr:col>
                    <xdr:colOff>373380</xdr:colOff>
                    <xdr:row>4</xdr:row>
                    <xdr:rowOff>175260</xdr:rowOff>
                  </to>
                </anchor>
              </controlPr>
            </control>
          </mc:Choice>
        </mc:AlternateContent>
        <mc:AlternateContent xmlns:mc="http://schemas.openxmlformats.org/markup-compatibility/2006">
          <mc:Choice Requires="x14">
            <control shapeId="1164" r:id="rId45" name="Check Box 140">
              <controlPr defaultSize="0" autoFill="0" autoLine="0" autoPict="0">
                <anchor moveWithCells="1">
                  <from>
                    <xdr:col>8</xdr:col>
                    <xdr:colOff>175260</xdr:colOff>
                    <xdr:row>4</xdr:row>
                    <xdr:rowOff>175260</xdr:rowOff>
                  </from>
                  <to>
                    <xdr:col>8</xdr:col>
                    <xdr:colOff>350520</xdr:colOff>
                    <xdr:row>5</xdr:row>
                    <xdr:rowOff>175260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8</xdr:col>
                    <xdr:colOff>175260</xdr:colOff>
                    <xdr:row>6</xdr:row>
                    <xdr:rowOff>175260</xdr:rowOff>
                  </from>
                  <to>
                    <xdr:col>8</xdr:col>
                    <xdr:colOff>350520</xdr:colOff>
                    <xdr:row>7</xdr:row>
                    <xdr:rowOff>175260</xdr:rowOff>
                  </to>
                </anchor>
              </controlPr>
            </control>
          </mc:Choice>
        </mc:AlternateContent>
        <mc:AlternateContent xmlns:mc="http://schemas.openxmlformats.org/markup-compatibility/2006">
          <mc:Choice Requires="x14">
            <control shapeId="1166" r:id="rId47" name="Check Box 142">
              <controlPr defaultSize="0" autoFill="0" autoLine="0" autoPict="0">
                <anchor moveWithCells="1">
                  <from>
                    <xdr:col>8</xdr:col>
                    <xdr:colOff>175260</xdr:colOff>
                    <xdr:row>5</xdr:row>
                    <xdr:rowOff>175260</xdr:rowOff>
                  </from>
                  <to>
                    <xdr:col>8</xdr:col>
                    <xdr:colOff>335280</xdr:colOff>
                    <xdr:row>6</xdr:row>
                    <xdr:rowOff>175260</xdr:rowOff>
                  </to>
                </anchor>
              </controlPr>
            </control>
          </mc:Choice>
        </mc:AlternateContent>
        <mc:AlternateContent xmlns:mc="http://schemas.openxmlformats.org/markup-compatibility/2006">
          <mc:Choice Requires="x14">
            <control shapeId="1167" r:id="rId48" name="Check Box 143">
              <controlPr defaultSize="0" autoFill="0" autoLine="0" autoPict="0">
                <anchor moveWithCells="1">
                  <from>
                    <xdr:col>8</xdr:col>
                    <xdr:colOff>175260</xdr:colOff>
                    <xdr:row>7</xdr:row>
                    <xdr:rowOff>175260</xdr:rowOff>
                  </from>
                  <to>
                    <xdr:col>8</xdr:col>
                    <xdr:colOff>350520</xdr:colOff>
                    <xdr:row>8</xdr:row>
                    <xdr:rowOff>175260</xdr:rowOff>
                  </to>
                </anchor>
              </controlPr>
            </control>
          </mc:Choice>
        </mc:AlternateContent>
        <mc:AlternateContent xmlns:mc="http://schemas.openxmlformats.org/markup-compatibility/2006">
          <mc:Choice Requires="x14">
            <control shapeId="1169" r:id="rId49" name="Check Box 145">
              <controlPr defaultSize="0" autoFill="0" autoLine="0" autoPict="0">
                <anchor moveWithCells="1">
                  <from>
                    <xdr:col>8</xdr:col>
                    <xdr:colOff>175260</xdr:colOff>
                    <xdr:row>9</xdr:row>
                    <xdr:rowOff>175260</xdr:rowOff>
                  </from>
                  <to>
                    <xdr:col>8</xdr:col>
                    <xdr:colOff>335280</xdr:colOff>
                    <xdr:row>11</xdr:row>
                    <xdr:rowOff>0</xdr:rowOff>
                  </to>
                </anchor>
              </controlPr>
            </control>
          </mc:Choice>
        </mc:AlternateContent>
        <mc:AlternateContent xmlns:mc="http://schemas.openxmlformats.org/markup-compatibility/2006">
          <mc:Choice Requires="x14">
            <control shapeId="1170" r:id="rId50" name="Check Box 146">
              <controlPr defaultSize="0" autoFill="0" autoLine="0" autoPict="0">
                <anchor moveWithCells="1">
                  <from>
                    <xdr:col>8</xdr:col>
                    <xdr:colOff>175260</xdr:colOff>
                    <xdr:row>10</xdr:row>
                    <xdr:rowOff>175260</xdr:rowOff>
                  </from>
                  <to>
                    <xdr:col>8</xdr:col>
                    <xdr:colOff>350520</xdr:colOff>
                    <xdr:row>11</xdr:row>
                    <xdr:rowOff>175260</xdr:rowOff>
                  </to>
                </anchor>
              </controlPr>
            </control>
          </mc:Choice>
        </mc:AlternateContent>
        <mc:AlternateContent xmlns:mc="http://schemas.openxmlformats.org/markup-compatibility/2006">
          <mc:Choice Requires="x14">
            <control shapeId="1171" r:id="rId51" name="Check Box 147">
              <controlPr defaultSize="0" autoFill="0" autoLine="0" autoPict="0">
                <anchor moveWithCells="1">
                  <from>
                    <xdr:col>8</xdr:col>
                    <xdr:colOff>175260</xdr:colOff>
                    <xdr:row>11</xdr:row>
                    <xdr:rowOff>175260</xdr:rowOff>
                  </from>
                  <to>
                    <xdr:col>8</xdr:col>
                    <xdr:colOff>350520</xdr:colOff>
                    <xdr:row>12</xdr:row>
                    <xdr:rowOff>175260</xdr:rowOff>
                  </to>
                </anchor>
              </controlPr>
            </control>
          </mc:Choice>
        </mc:AlternateContent>
        <mc:AlternateContent xmlns:mc="http://schemas.openxmlformats.org/markup-compatibility/2006">
          <mc:Choice Requires="x14">
            <control shapeId="1172" r:id="rId52" name="Check Box 148">
              <controlPr defaultSize="0" autoFill="0" autoLine="0" autoPict="0">
                <anchor moveWithCells="1">
                  <from>
                    <xdr:col>8</xdr:col>
                    <xdr:colOff>175260</xdr:colOff>
                    <xdr:row>12</xdr:row>
                    <xdr:rowOff>182880</xdr:rowOff>
                  </from>
                  <to>
                    <xdr:col>8</xdr:col>
                    <xdr:colOff>350520</xdr:colOff>
                    <xdr:row>14</xdr:row>
                    <xdr:rowOff>0</xdr:rowOff>
                  </to>
                </anchor>
              </controlPr>
            </control>
          </mc:Choice>
        </mc:AlternateContent>
        <mc:AlternateContent xmlns:mc="http://schemas.openxmlformats.org/markup-compatibility/2006">
          <mc:Choice Requires="x14">
            <control shapeId="1173" r:id="rId53" name="Check Box 149">
              <controlPr defaultSize="0" autoFill="0" autoLine="0" autoPict="0">
                <anchor moveWithCells="1">
                  <from>
                    <xdr:col>8</xdr:col>
                    <xdr:colOff>175260</xdr:colOff>
                    <xdr:row>13</xdr:row>
                    <xdr:rowOff>175260</xdr:rowOff>
                  </from>
                  <to>
                    <xdr:col>8</xdr:col>
                    <xdr:colOff>350520</xdr:colOff>
                    <xdr:row>14</xdr:row>
                    <xdr:rowOff>175260</xdr:rowOff>
                  </to>
                </anchor>
              </controlPr>
            </control>
          </mc:Choice>
        </mc:AlternateContent>
        <mc:AlternateContent xmlns:mc="http://schemas.openxmlformats.org/markup-compatibility/2006">
          <mc:Choice Requires="x14">
            <control shapeId="1174" r:id="rId54" name="Check Box 150">
              <controlPr defaultSize="0" autoFill="0" autoLine="0" autoPict="0">
                <anchor moveWithCells="1">
                  <from>
                    <xdr:col>8</xdr:col>
                    <xdr:colOff>175260</xdr:colOff>
                    <xdr:row>14</xdr:row>
                    <xdr:rowOff>175260</xdr:rowOff>
                  </from>
                  <to>
                    <xdr:col>8</xdr:col>
                    <xdr:colOff>335280</xdr:colOff>
                    <xdr:row>15</xdr:row>
                    <xdr:rowOff>175260</xdr:rowOff>
                  </to>
                </anchor>
              </controlPr>
            </control>
          </mc:Choice>
        </mc:AlternateContent>
        <mc:AlternateContent xmlns:mc="http://schemas.openxmlformats.org/markup-compatibility/2006">
          <mc:Choice Requires="x14">
            <control shapeId="1177" r:id="rId55" name="Check Box 153">
              <controlPr defaultSize="0" autoFill="0" autoLine="0" autoPict="0">
                <anchor moveWithCells="1">
                  <from>
                    <xdr:col>8</xdr:col>
                    <xdr:colOff>175260</xdr:colOff>
                    <xdr:row>17</xdr:row>
                    <xdr:rowOff>0</xdr:rowOff>
                  </from>
                  <to>
                    <xdr:col>8</xdr:col>
                    <xdr:colOff>350520</xdr:colOff>
                    <xdr:row>18</xdr:row>
                    <xdr:rowOff>0</xdr:rowOff>
                  </to>
                </anchor>
              </controlPr>
            </control>
          </mc:Choice>
        </mc:AlternateContent>
        <mc:AlternateContent xmlns:mc="http://schemas.openxmlformats.org/markup-compatibility/2006">
          <mc:Choice Requires="x14">
            <control shapeId="1178" r:id="rId56" name="Check Box 154">
              <controlPr defaultSize="0" autoFill="0" autoLine="0" autoPict="0">
                <anchor moveWithCells="1">
                  <from>
                    <xdr:col>8</xdr:col>
                    <xdr:colOff>175260</xdr:colOff>
                    <xdr:row>17</xdr:row>
                    <xdr:rowOff>175260</xdr:rowOff>
                  </from>
                  <to>
                    <xdr:col>8</xdr:col>
                    <xdr:colOff>350520</xdr:colOff>
                    <xdr:row>18</xdr:row>
                    <xdr:rowOff>175260</xdr:rowOff>
                  </to>
                </anchor>
              </controlPr>
            </control>
          </mc:Choice>
        </mc:AlternateContent>
        <mc:AlternateContent xmlns:mc="http://schemas.openxmlformats.org/markup-compatibility/2006">
          <mc:Choice Requires="x14">
            <control shapeId="1179" r:id="rId57" name="Check Box 155">
              <controlPr defaultSize="0" autoFill="0" autoLine="0" autoPict="0">
                <anchor moveWithCells="1">
                  <from>
                    <xdr:col>8</xdr:col>
                    <xdr:colOff>175260</xdr:colOff>
                    <xdr:row>19</xdr:row>
                    <xdr:rowOff>182880</xdr:rowOff>
                  </from>
                  <to>
                    <xdr:col>8</xdr:col>
                    <xdr:colOff>350520</xdr:colOff>
                    <xdr:row>20</xdr:row>
                    <xdr:rowOff>182880</xdr:rowOff>
                  </to>
                </anchor>
              </controlPr>
            </control>
          </mc:Choice>
        </mc:AlternateContent>
        <mc:AlternateContent xmlns:mc="http://schemas.openxmlformats.org/markup-compatibility/2006">
          <mc:Choice Requires="x14">
            <control shapeId="1180" r:id="rId58" name="Check Box 156">
              <controlPr defaultSize="0" autoFill="0" autoLine="0" autoPict="0">
                <anchor moveWithCells="1">
                  <from>
                    <xdr:col>8</xdr:col>
                    <xdr:colOff>175260</xdr:colOff>
                    <xdr:row>20</xdr:row>
                    <xdr:rowOff>182880</xdr:rowOff>
                  </from>
                  <to>
                    <xdr:col>8</xdr:col>
                    <xdr:colOff>350520</xdr:colOff>
                    <xdr:row>22</xdr:row>
                    <xdr:rowOff>0</xdr:rowOff>
                  </to>
                </anchor>
              </controlPr>
            </control>
          </mc:Choice>
        </mc:AlternateContent>
        <mc:AlternateContent xmlns:mc="http://schemas.openxmlformats.org/markup-compatibility/2006">
          <mc:Choice Requires="x14">
            <control shapeId="1181" r:id="rId59" name="Check Box 157">
              <controlPr defaultSize="0" autoFill="0" autoLine="0" autoPict="0">
                <anchor moveWithCells="1">
                  <from>
                    <xdr:col>8</xdr:col>
                    <xdr:colOff>175260</xdr:colOff>
                    <xdr:row>22</xdr:row>
                    <xdr:rowOff>7620</xdr:rowOff>
                  </from>
                  <to>
                    <xdr:col>8</xdr:col>
                    <xdr:colOff>350520</xdr:colOff>
                    <xdr:row>23</xdr:row>
                    <xdr:rowOff>7620</xdr:rowOff>
                  </to>
                </anchor>
              </controlPr>
            </control>
          </mc:Choice>
        </mc:AlternateContent>
        <mc:AlternateContent xmlns:mc="http://schemas.openxmlformats.org/markup-compatibility/2006">
          <mc:Choice Requires="x14">
            <control shapeId="1183" r:id="rId60" name="Check Box 159">
              <controlPr defaultSize="0" autoFill="0" autoLine="0" autoPict="0">
                <anchor moveWithCells="1">
                  <from>
                    <xdr:col>8</xdr:col>
                    <xdr:colOff>175260</xdr:colOff>
                    <xdr:row>22</xdr:row>
                    <xdr:rowOff>182880</xdr:rowOff>
                  </from>
                  <to>
                    <xdr:col>8</xdr:col>
                    <xdr:colOff>350520</xdr:colOff>
                    <xdr:row>24</xdr:row>
                    <xdr:rowOff>0</xdr:rowOff>
                  </to>
                </anchor>
              </controlPr>
            </control>
          </mc:Choice>
        </mc:AlternateContent>
        <mc:AlternateContent xmlns:mc="http://schemas.openxmlformats.org/markup-compatibility/2006">
          <mc:Choice Requires="x14">
            <control shapeId="1184" r:id="rId61" name="Check Box 160">
              <controlPr defaultSize="0" autoFill="0" autoLine="0" autoPict="0">
                <anchor moveWithCells="1">
                  <from>
                    <xdr:col>8</xdr:col>
                    <xdr:colOff>175260</xdr:colOff>
                    <xdr:row>24</xdr:row>
                    <xdr:rowOff>7620</xdr:rowOff>
                  </from>
                  <to>
                    <xdr:col>8</xdr:col>
                    <xdr:colOff>350520</xdr:colOff>
                    <xdr:row>25</xdr:row>
                    <xdr:rowOff>7620</xdr:rowOff>
                  </to>
                </anchor>
              </controlPr>
            </control>
          </mc:Choice>
        </mc:AlternateContent>
        <mc:AlternateContent xmlns:mc="http://schemas.openxmlformats.org/markup-compatibility/2006">
          <mc:Choice Requires="x14">
            <control shapeId="1186" r:id="rId62" name="Check Box 162">
              <controlPr defaultSize="0" autoFill="0" autoLine="0" autoPict="0">
                <anchor moveWithCells="1">
                  <from>
                    <xdr:col>8</xdr:col>
                    <xdr:colOff>175260</xdr:colOff>
                    <xdr:row>24</xdr:row>
                    <xdr:rowOff>175260</xdr:rowOff>
                  </from>
                  <to>
                    <xdr:col>8</xdr:col>
                    <xdr:colOff>350520</xdr:colOff>
                    <xdr:row>25</xdr:row>
                    <xdr:rowOff>175260</xdr:rowOff>
                  </to>
                </anchor>
              </controlPr>
            </control>
          </mc:Choice>
        </mc:AlternateContent>
        <mc:AlternateContent xmlns:mc="http://schemas.openxmlformats.org/markup-compatibility/2006">
          <mc:Choice Requires="x14">
            <control shapeId="1188" r:id="rId63" name="Check Box 164">
              <controlPr defaultSize="0" autoFill="0" autoLine="0" autoPict="0">
                <anchor moveWithCells="1">
                  <from>
                    <xdr:col>8</xdr:col>
                    <xdr:colOff>175260</xdr:colOff>
                    <xdr:row>25</xdr:row>
                    <xdr:rowOff>175260</xdr:rowOff>
                  </from>
                  <to>
                    <xdr:col>8</xdr:col>
                    <xdr:colOff>335280</xdr:colOff>
                    <xdr:row>26</xdr:row>
                    <xdr:rowOff>175260</xdr:rowOff>
                  </to>
                </anchor>
              </controlPr>
            </control>
          </mc:Choice>
        </mc:AlternateContent>
        <mc:AlternateContent xmlns:mc="http://schemas.openxmlformats.org/markup-compatibility/2006">
          <mc:Choice Requires="x14">
            <control shapeId="1189" r:id="rId64" name="Check Box 165">
              <controlPr defaultSize="0" autoFill="0" autoLine="0" autoPict="0">
                <anchor moveWithCells="1">
                  <from>
                    <xdr:col>8</xdr:col>
                    <xdr:colOff>175260</xdr:colOff>
                    <xdr:row>26</xdr:row>
                    <xdr:rowOff>182880</xdr:rowOff>
                  </from>
                  <to>
                    <xdr:col>8</xdr:col>
                    <xdr:colOff>350520</xdr:colOff>
                    <xdr:row>28</xdr:row>
                    <xdr:rowOff>0</xdr:rowOff>
                  </to>
                </anchor>
              </controlPr>
            </control>
          </mc:Choice>
        </mc:AlternateContent>
        <mc:AlternateContent xmlns:mc="http://schemas.openxmlformats.org/markup-compatibility/2006">
          <mc:Choice Requires="x14">
            <control shapeId="1191" r:id="rId65" name="Check Box 167">
              <controlPr defaultSize="0" autoFill="0" autoLine="0" autoPict="0">
                <anchor moveWithCells="1">
                  <from>
                    <xdr:col>8</xdr:col>
                    <xdr:colOff>175260</xdr:colOff>
                    <xdr:row>27</xdr:row>
                    <xdr:rowOff>175260</xdr:rowOff>
                  </from>
                  <to>
                    <xdr:col>8</xdr:col>
                    <xdr:colOff>350520</xdr:colOff>
                    <xdr:row>28</xdr:row>
                    <xdr:rowOff>175260</xdr:rowOff>
                  </to>
                </anchor>
              </controlPr>
            </control>
          </mc:Choice>
        </mc:AlternateContent>
        <mc:AlternateContent xmlns:mc="http://schemas.openxmlformats.org/markup-compatibility/2006">
          <mc:Choice Requires="x14">
            <control shapeId="1193" r:id="rId66" name="Check Box 169">
              <controlPr defaultSize="0" autoFill="0" autoLine="0" autoPict="0">
                <anchor moveWithCells="1">
                  <from>
                    <xdr:col>8</xdr:col>
                    <xdr:colOff>175260</xdr:colOff>
                    <xdr:row>28</xdr:row>
                    <xdr:rowOff>175260</xdr:rowOff>
                  </from>
                  <to>
                    <xdr:col>8</xdr:col>
                    <xdr:colOff>350520</xdr:colOff>
                    <xdr:row>29</xdr:row>
                    <xdr:rowOff>175260</xdr:rowOff>
                  </to>
                </anchor>
              </controlPr>
            </control>
          </mc:Choice>
        </mc:AlternateContent>
        <mc:AlternateContent xmlns:mc="http://schemas.openxmlformats.org/markup-compatibility/2006">
          <mc:Choice Requires="x14">
            <control shapeId="1201" r:id="rId67" name="Check Box 177">
              <controlPr defaultSize="0" autoFill="0" autoLine="0" autoPict="0">
                <anchor moveWithCells="1">
                  <from>
                    <xdr:col>8</xdr:col>
                    <xdr:colOff>175260</xdr:colOff>
                    <xdr:row>34</xdr:row>
                    <xdr:rowOff>175260</xdr:rowOff>
                  </from>
                  <to>
                    <xdr:col>8</xdr:col>
                    <xdr:colOff>350520</xdr:colOff>
                    <xdr:row>35</xdr:row>
                    <xdr:rowOff>175260</xdr:rowOff>
                  </to>
                </anchor>
              </controlPr>
            </control>
          </mc:Choice>
        </mc:AlternateContent>
        <mc:AlternateContent xmlns:mc="http://schemas.openxmlformats.org/markup-compatibility/2006">
          <mc:Choice Requires="x14">
            <control shapeId="1202" r:id="rId68" name="Check Box 178">
              <controlPr defaultSize="0" autoFill="0" autoLine="0" autoPict="0">
                <anchor moveWithCells="1">
                  <from>
                    <xdr:col>8</xdr:col>
                    <xdr:colOff>175260</xdr:colOff>
                    <xdr:row>35</xdr:row>
                    <xdr:rowOff>175260</xdr:rowOff>
                  </from>
                  <to>
                    <xdr:col>8</xdr:col>
                    <xdr:colOff>350520</xdr:colOff>
                    <xdr:row>36</xdr:row>
                    <xdr:rowOff>175260</xdr:rowOff>
                  </to>
                </anchor>
              </controlPr>
            </control>
          </mc:Choice>
        </mc:AlternateContent>
        <mc:AlternateContent xmlns:mc="http://schemas.openxmlformats.org/markup-compatibility/2006">
          <mc:Choice Requires="x14">
            <control shapeId="1203" r:id="rId69" name="Check Box 179">
              <controlPr defaultSize="0" autoFill="0" autoLine="0" autoPict="0">
                <anchor moveWithCells="1">
                  <from>
                    <xdr:col>8</xdr:col>
                    <xdr:colOff>175260</xdr:colOff>
                    <xdr:row>37</xdr:row>
                    <xdr:rowOff>0</xdr:rowOff>
                  </from>
                  <to>
                    <xdr:col>8</xdr:col>
                    <xdr:colOff>350520</xdr:colOff>
                    <xdr:row>38</xdr:row>
                    <xdr:rowOff>0</xdr:rowOff>
                  </to>
                </anchor>
              </controlPr>
            </control>
          </mc:Choice>
        </mc:AlternateContent>
        <mc:AlternateContent xmlns:mc="http://schemas.openxmlformats.org/markup-compatibility/2006">
          <mc:Choice Requires="x14">
            <control shapeId="1205" r:id="rId70" name="Check Box 181">
              <controlPr defaultSize="0" autoFill="0" autoLine="0" autoPict="0">
                <anchor moveWithCells="1">
                  <from>
                    <xdr:col>8</xdr:col>
                    <xdr:colOff>175260</xdr:colOff>
                    <xdr:row>38</xdr:row>
                    <xdr:rowOff>175260</xdr:rowOff>
                  </from>
                  <to>
                    <xdr:col>8</xdr:col>
                    <xdr:colOff>350520</xdr:colOff>
                    <xdr:row>40</xdr:row>
                    <xdr:rowOff>0</xdr:rowOff>
                  </to>
                </anchor>
              </controlPr>
            </control>
          </mc:Choice>
        </mc:AlternateContent>
        <mc:AlternateContent xmlns:mc="http://schemas.openxmlformats.org/markup-compatibility/2006">
          <mc:Choice Requires="x14">
            <control shapeId="1206" r:id="rId71" name="Check Box 182">
              <controlPr defaultSize="0" autoFill="0" autoLine="0" autoPict="0">
                <anchor moveWithCells="1">
                  <from>
                    <xdr:col>8</xdr:col>
                    <xdr:colOff>175260</xdr:colOff>
                    <xdr:row>39</xdr:row>
                    <xdr:rowOff>175260</xdr:rowOff>
                  </from>
                  <to>
                    <xdr:col>8</xdr:col>
                    <xdr:colOff>350520</xdr:colOff>
                    <xdr:row>40</xdr:row>
                    <xdr:rowOff>175260</xdr:rowOff>
                  </to>
                </anchor>
              </controlPr>
            </control>
          </mc:Choice>
        </mc:AlternateContent>
        <mc:AlternateContent xmlns:mc="http://schemas.openxmlformats.org/markup-compatibility/2006">
          <mc:Choice Requires="x14">
            <control shapeId="1207" r:id="rId72" name="Check Box 183">
              <controlPr defaultSize="0" autoFill="0" autoLine="0" autoPict="0">
                <anchor moveWithCells="1">
                  <from>
                    <xdr:col>8</xdr:col>
                    <xdr:colOff>175260</xdr:colOff>
                    <xdr:row>41</xdr:row>
                    <xdr:rowOff>7620</xdr:rowOff>
                  </from>
                  <to>
                    <xdr:col>8</xdr:col>
                    <xdr:colOff>350520</xdr:colOff>
                    <xdr:row>42</xdr:row>
                    <xdr:rowOff>7620</xdr:rowOff>
                  </to>
                </anchor>
              </controlPr>
            </control>
          </mc:Choice>
        </mc:AlternateContent>
        <mc:AlternateContent xmlns:mc="http://schemas.openxmlformats.org/markup-compatibility/2006">
          <mc:Choice Requires="x14">
            <control shapeId="1208" r:id="rId73" name="Check Box 184">
              <controlPr defaultSize="0" autoFill="0" autoLine="0" autoPict="0">
                <anchor moveWithCells="1">
                  <from>
                    <xdr:col>8</xdr:col>
                    <xdr:colOff>175260</xdr:colOff>
                    <xdr:row>41</xdr:row>
                    <xdr:rowOff>175260</xdr:rowOff>
                  </from>
                  <to>
                    <xdr:col>8</xdr:col>
                    <xdr:colOff>350520</xdr:colOff>
                    <xdr:row>42</xdr:row>
                    <xdr:rowOff>175260</xdr:rowOff>
                  </to>
                </anchor>
              </controlPr>
            </control>
          </mc:Choice>
        </mc:AlternateContent>
        <mc:AlternateContent xmlns:mc="http://schemas.openxmlformats.org/markup-compatibility/2006">
          <mc:Choice Requires="x14">
            <control shapeId="1209" r:id="rId74" name="Check Box 185">
              <controlPr defaultSize="0" autoFill="0" autoLine="0" autoPict="0">
                <anchor moveWithCells="1">
                  <from>
                    <xdr:col>8</xdr:col>
                    <xdr:colOff>175260</xdr:colOff>
                    <xdr:row>42</xdr:row>
                    <xdr:rowOff>175260</xdr:rowOff>
                  </from>
                  <to>
                    <xdr:col>8</xdr:col>
                    <xdr:colOff>350520</xdr:colOff>
                    <xdr:row>43</xdr:row>
                    <xdr:rowOff>175260</xdr:rowOff>
                  </to>
                </anchor>
              </controlPr>
            </control>
          </mc:Choice>
        </mc:AlternateContent>
        <mc:AlternateContent xmlns:mc="http://schemas.openxmlformats.org/markup-compatibility/2006">
          <mc:Choice Requires="x14">
            <control shapeId="1210" r:id="rId75" name="Check Box 186">
              <controlPr defaultSize="0" autoFill="0" autoLine="0" autoPict="0">
                <anchor moveWithCells="1">
                  <from>
                    <xdr:col>8</xdr:col>
                    <xdr:colOff>175260</xdr:colOff>
                    <xdr:row>44</xdr:row>
                    <xdr:rowOff>175260</xdr:rowOff>
                  </from>
                  <to>
                    <xdr:col>8</xdr:col>
                    <xdr:colOff>350520</xdr:colOff>
                    <xdr:row>46</xdr:row>
                    <xdr:rowOff>0</xdr:rowOff>
                  </to>
                </anchor>
              </controlPr>
            </control>
          </mc:Choice>
        </mc:AlternateContent>
        <mc:AlternateContent xmlns:mc="http://schemas.openxmlformats.org/markup-compatibility/2006">
          <mc:Choice Requires="x14">
            <control shapeId="1211" r:id="rId76" name="Check Box 187">
              <controlPr defaultSize="0" autoFill="0" autoLine="0" autoPict="0">
                <anchor moveWithCells="1">
                  <from>
                    <xdr:col>8</xdr:col>
                    <xdr:colOff>175260</xdr:colOff>
                    <xdr:row>45</xdr:row>
                    <xdr:rowOff>175260</xdr:rowOff>
                  </from>
                  <to>
                    <xdr:col>8</xdr:col>
                    <xdr:colOff>350520</xdr:colOff>
                    <xdr:row>46</xdr:row>
                    <xdr:rowOff>175260</xdr:rowOff>
                  </to>
                </anchor>
              </controlPr>
            </control>
          </mc:Choice>
        </mc:AlternateContent>
        <mc:AlternateContent xmlns:mc="http://schemas.openxmlformats.org/markup-compatibility/2006">
          <mc:Choice Requires="x14">
            <control shapeId="1213" r:id="rId77" name="Check Box 189">
              <controlPr defaultSize="0" autoFill="0" autoLine="0" autoPict="0">
                <anchor moveWithCells="1">
                  <from>
                    <xdr:col>8</xdr:col>
                    <xdr:colOff>175260</xdr:colOff>
                    <xdr:row>47</xdr:row>
                    <xdr:rowOff>175260</xdr:rowOff>
                  </from>
                  <to>
                    <xdr:col>8</xdr:col>
                    <xdr:colOff>350520</xdr:colOff>
                    <xdr:row>49</xdr:row>
                    <xdr:rowOff>0</xdr:rowOff>
                  </to>
                </anchor>
              </controlPr>
            </control>
          </mc:Choice>
        </mc:AlternateContent>
        <mc:AlternateContent xmlns:mc="http://schemas.openxmlformats.org/markup-compatibility/2006">
          <mc:Choice Requires="x14">
            <control shapeId="1214" r:id="rId78" name="Check Box 190">
              <controlPr defaultSize="0" autoFill="0" autoLine="0" autoPict="0">
                <anchor moveWithCells="1">
                  <from>
                    <xdr:col>8</xdr:col>
                    <xdr:colOff>175260</xdr:colOff>
                    <xdr:row>30</xdr:row>
                    <xdr:rowOff>7620</xdr:rowOff>
                  </from>
                  <to>
                    <xdr:col>8</xdr:col>
                    <xdr:colOff>350520</xdr:colOff>
                    <xdr:row>31</xdr:row>
                    <xdr:rowOff>7620</xdr:rowOff>
                  </to>
                </anchor>
              </controlPr>
            </control>
          </mc:Choice>
        </mc:AlternateContent>
        <mc:AlternateContent xmlns:mc="http://schemas.openxmlformats.org/markup-compatibility/2006">
          <mc:Choice Requires="x14">
            <control shapeId="1216" r:id="rId79" name="Check Box 192">
              <controlPr defaultSize="0" autoFill="0" autoLine="0" autoPict="0">
                <anchor moveWithCells="1">
                  <from>
                    <xdr:col>8</xdr:col>
                    <xdr:colOff>175260</xdr:colOff>
                    <xdr:row>31</xdr:row>
                    <xdr:rowOff>0</xdr:rowOff>
                  </from>
                  <to>
                    <xdr:col>8</xdr:col>
                    <xdr:colOff>350520</xdr:colOff>
                    <xdr:row>32</xdr:row>
                    <xdr:rowOff>0</xdr:rowOff>
                  </to>
                </anchor>
              </controlPr>
            </control>
          </mc:Choice>
        </mc:AlternateContent>
        <mc:AlternateContent xmlns:mc="http://schemas.openxmlformats.org/markup-compatibility/2006">
          <mc:Choice Requires="x14">
            <control shapeId="1220" r:id="rId80" name="Check Box 196">
              <controlPr defaultSize="0" autoFill="0" autoLine="0" autoPict="0">
                <anchor moveWithCells="1">
                  <from>
                    <xdr:col>8</xdr:col>
                    <xdr:colOff>175260</xdr:colOff>
                    <xdr:row>32</xdr:row>
                    <xdr:rowOff>7620</xdr:rowOff>
                  </from>
                  <to>
                    <xdr:col>8</xdr:col>
                    <xdr:colOff>350520</xdr:colOff>
                    <xdr:row>33</xdr:row>
                    <xdr:rowOff>7620</xdr:rowOff>
                  </to>
                </anchor>
              </controlPr>
            </control>
          </mc:Choice>
        </mc:AlternateContent>
        <mc:AlternateContent xmlns:mc="http://schemas.openxmlformats.org/markup-compatibility/2006">
          <mc:Choice Requires="x14">
            <control shapeId="1223" r:id="rId81" name="Check Box 199">
              <controlPr defaultSize="0" autoFill="0" autoLine="0" autoPict="0">
                <anchor moveWithCells="1">
                  <from>
                    <xdr:col>8</xdr:col>
                    <xdr:colOff>175260</xdr:colOff>
                    <xdr:row>33</xdr:row>
                    <xdr:rowOff>175260</xdr:rowOff>
                  </from>
                  <to>
                    <xdr:col>8</xdr:col>
                    <xdr:colOff>350520</xdr:colOff>
                    <xdr:row>35</xdr:row>
                    <xdr:rowOff>0</xdr:rowOff>
                  </to>
                </anchor>
              </controlPr>
            </control>
          </mc:Choice>
        </mc:AlternateContent>
        <mc:AlternateContent xmlns:mc="http://schemas.openxmlformats.org/markup-compatibility/2006">
          <mc:Choice Requires="x14">
            <control shapeId="1225" r:id="rId82" name="Check Box 201">
              <controlPr defaultSize="0" autoFill="0" autoLine="0" autoPict="0">
                <anchor moveWithCells="1">
                  <from>
                    <xdr:col>5</xdr:col>
                    <xdr:colOff>182880</xdr:colOff>
                    <xdr:row>2</xdr:row>
                    <xdr:rowOff>182880</xdr:rowOff>
                  </from>
                  <to>
                    <xdr:col>5</xdr:col>
                    <xdr:colOff>449580</xdr:colOff>
                    <xdr:row>4</xdr:row>
                    <xdr:rowOff>30480</xdr:rowOff>
                  </to>
                </anchor>
              </controlPr>
            </control>
          </mc:Choice>
        </mc:AlternateContent>
        <mc:AlternateContent xmlns:mc="http://schemas.openxmlformats.org/markup-compatibility/2006">
          <mc:Choice Requires="x14">
            <control shapeId="1226" r:id="rId83" name="Check Box 202">
              <controlPr defaultSize="0" autoFill="0" autoLine="0" autoPict="0">
                <anchor moveWithCells="1">
                  <from>
                    <xdr:col>5</xdr:col>
                    <xdr:colOff>182880</xdr:colOff>
                    <xdr:row>3</xdr:row>
                    <xdr:rowOff>175260</xdr:rowOff>
                  </from>
                  <to>
                    <xdr:col>5</xdr:col>
                    <xdr:colOff>449580</xdr:colOff>
                    <xdr:row>5</xdr:row>
                    <xdr:rowOff>22860</xdr:rowOff>
                  </to>
                </anchor>
              </controlPr>
            </control>
          </mc:Choice>
        </mc:AlternateContent>
        <mc:AlternateContent xmlns:mc="http://schemas.openxmlformats.org/markup-compatibility/2006">
          <mc:Choice Requires="x14">
            <control shapeId="1227" r:id="rId84" name="Check Box 203">
              <controlPr defaultSize="0" autoFill="0" autoLine="0" autoPict="0">
                <anchor moveWithCells="1">
                  <from>
                    <xdr:col>5</xdr:col>
                    <xdr:colOff>182880</xdr:colOff>
                    <xdr:row>4</xdr:row>
                    <xdr:rowOff>175260</xdr:rowOff>
                  </from>
                  <to>
                    <xdr:col>5</xdr:col>
                    <xdr:colOff>449580</xdr:colOff>
                    <xdr:row>6</xdr:row>
                    <xdr:rowOff>22860</xdr:rowOff>
                  </to>
                </anchor>
              </controlPr>
            </control>
          </mc:Choice>
        </mc:AlternateContent>
        <mc:AlternateContent xmlns:mc="http://schemas.openxmlformats.org/markup-compatibility/2006">
          <mc:Choice Requires="x14">
            <control shapeId="1228" r:id="rId85" name="Check Box 204">
              <controlPr defaultSize="0" autoFill="0" autoLine="0" autoPict="0">
                <anchor moveWithCells="1">
                  <from>
                    <xdr:col>5</xdr:col>
                    <xdr:colOff>182880</xdr:colOff>
                    <xdr:row>5</xdr:row>
                    <xdr:rowOff>160020</xdr:rowOff>
                  </from>
                  <to>
                    <xdr:col>5</xdr:col>
                    <xdr:colOff>449580</xdr:colOff>
                    <xdr:row>7</xdr:row>
                    <xdr:rowOff>22860</xdr:rowOff>
                  </to>
                </anchor>
              </controlPr>
            </control>
          </mc:Choice>
        </mc:AlternateContent>
        <mc:AlternateContent xmlns:mc="http://schemas.openxmlformats.org/markup-compatibility/2006">
          <mc:Choice Requires="x14">
            <control shapeId="1229" r:id="rId86" name="Check Box 205">
              <controlPr defaultSize="0" autoFill="0" autoLine="0" autoPict="0">
                <anchor moveWithCells="1">
                  <from>
                    <xdr:col>5</xdr:col>
                    <xdr:colOff>182880</xdr:colOff>
                    <xdr:row>6</xdr:row>
                    <xdr:rowOff>160020</xdr:rowOff>
                  </from>
                  <to>
                    <xdr:col>5</xdr:col>
                    <xdr:colOff>449580</xdr:colOff>
                    <xdr:row>8</xdr:row>
                    <xdr:rowOff>22860</xdr:rowOff>
                  </to>
                </anchor>
              </controlPr>
            </control>
          </mc:Choice>
        </mc:AlternateContent>
        <mc:AlternateContent xmlns:mc="http://schemas.openxmlformats.org/markup-compatibility/2006">
          <mc:Choice Requires="x14">
            <control shapeId="1230" r:id="rId87" name="Check Box 206">
              <controlPr defaultSize="0" autoFill="0" autoLine="0" autoPict="0">
                <anchor moveWithCells="1">
                  <from>
                    <xdr:col>5</xdr:col>
                    <xdr:colOff>182880</xdr:colOff>
                    <xdr:row>7</xdr:row>
                    <xdr:rowOff>175260</xdr:rowOff>
                  </from>
                  <to>
                    <xdr:col>5</xdr:col>
                    <xdr:colOff>449580</xdr:colOff>
                    <xdr:row>9</xdr:row>
                    <xdr:rowOff>22860</xdr:rowOff>
                  </to>
                </anchor>
              </controlPr>
            </control>
          </mc:Choice>
        </mc:AlternateContent>
        <mc:AlternateContent xmlns:mc="http://schemas.openxmlformats.org/markup-compatibility/2006">
          <mc:Choice Requires="x14">
            <control shapeId="1232" r:id="rId88" name="Check Box 208">
              <controlPr defaultSize="0" autoFill="0" autoLine="0" autoPict="0">
                <anchor moveWithCells="1">
                  <from>
                    <xdr:col>5</xdr:col>
                    <xdr:colOff>182880</xdr:colOff>
                    <xdr:row>9</xdr:row>
                    <xdr:rowOff>175260</xdr:rowOff>
                  </from>
                  <to>
                    <xdr:col>5</xdr:col>
                    <xdr:colOff>449580</xdr:colOff>
                    <xdr:row>11</xdr:row>
                    <xdr:rowOff>30480</xdr:rowOff>
                  </to>
                </anchor>
              </controlPr>
            </control>
          </mc:Choice>
        </mc:AlternateContent>
        <mc:AlternateContent xmlns:mc="http://schemas.openxmlformats.org/markup-compatibility/2006">
          <mc:Choice Requires="x14">
            <control shapeId="1233" r:id="rId89" name="Check Box 209">
              <controlPr defaultSize="0" autoFill="0" autoLine="0" autoPict="0">
                <anchor moveWithCells="1">
                  <from>
                    <xdr:col>5</xdr:col>
                    <xdr:colOff>182880</xdr:colOff>
                    <xdr:row>10</xdr:row>
                    <xdr:rowOff>160020</xdr:rowOff>
                  </from>
                  <to>
                    <xdr:col>5</xdr:col>
                    <xdr:colOff>449580</xdr:colOff>
                    <xdr:row>12</xdr:row>
                    <xdr:rowOff>22860</xdr:rowOff>
                  </to>
                </anchor>
              </controlPr>
            </control>
          </mc:Choice>
        </mc:AlternateContent>
        <mc:AlternateContent xmlns:mc="http://schemas.openxmlformats.org/markup-compatibility/2006">
          <mc:Choice Requires="x14">
            <control shapeId="1234" r:id="rId90" name="Check Box 210">
              <controlPr defaultSize="0" autoFill="0" autoLine="0" autoPict="0">
                <anchor moveWithCells="1">
                  <from>
                    <xdr:col>5</xdr:col>
                    <xdr:colOff>182880</xdr:colOff>
                    <xdr:row>12</xdr:row>
                    <xdr:rowOff>0</xdr:rowOff>
                  </from>
                  <to>
                    <xdr:col>5</xdr:col>
                    <xdr:colOff>449580</xdr:colOff>
                    <xdr:row>13</xdr:row>
                    <xdr:rowOff>45720</xdr:rowOff>
                  </to>
                </anchor>
              </controlPr>
            </control>
          </mc:Choice>
        </mc:AlternateContent>
        <mc:AlternateContent xmlns:mc="http://schemas.openxmlformats.org/markup-compatibility/2006">
          <mc:Choice Requires="x14">
            <control shapeId="1235" r:id="rId91" name="Check Box 211">
              <controlPr defaultSize="0" autoFill="0" autoLine="0" autoPict="0">
                <anchor moveWithCells="1">
                  <from>
                    <xdr:col>5</xdr:col>
                    <xdr:colOff>182880</xdr:colOff>
                    <xdr:row>12</xdr:row>
                    <xdr:rowOff>175260</xdr:rowOff>
                  </from>
                  <to>
                    <xdr:col>5</xdr:col>
                    <xdr:colOff>449580</xdr:colOff>
                    <xdr:row>14</xdr:row>
                    <xdr:rowOff>22860</xdr:rowOff>
                  </to>
                </anchor>
              </controlPr>
            </control>
          </mc:Choice>
        </mc:AlternateContent>
        <mc:AlternateContent xmlns:mc="http://schemas.openxmlformats.org/markup-compatibility/2006">
          <mc:Choice Requires="x14">
            <control shapeId="1236" r:id="rId92" name="Check Box 212">
              <controlPr defaultSize="0" autoFill="0" autoLine="0" autoPict="0">
                <anchor moveWithCells="1">
                  <from>
                    <xdr:col>5</xdr:col>
                    <xdr:colOff>182880</xdr:colOff>
                    <xdr:row>13</xdr:row>
                    <xdr:rowOff>175260</xdr:rowOff>
                  </from>
                  <to>
                    <xdr:col>5</xdr:col>
                    <xdr:colOff>449580</xdr:colOff>
                    <xdr:row>15</xdr:row>
                    <xdr:rowOff>22860</xdr:rowOff>
                  </to>
                </anchor>
              </controlPr>
            </control>
          </mc:Choice>
        </mc:AlternateContent>
        <mc:AlternateContent xmlns:mc="http://schemas.openxmlformats.org/markup-compatibility/2006">
          <mc:Choice Requires="x14">
            <control shapeId="1237" r:id="rId93" name="Check Box 213">
              <controlPr defaultSize="0" autoFill="0" autoLine="0" autoPict="0">
                <anchor moveWithCells="1">
                  <from>
                    <xdr:col>5</xdr:col>
                    <xdr:colOff>182880</xdr:colOff>
                    <xdr:row>14</xdr:row>
                    <xdr:rowOff>152400</xdr:rowOff>
                  </from>
                  <to>
                    <xdr:col>5</xdr:col>
                    <xdr:colOff>449580</xdr:colOff>
                    <xdr:row>16</xdr:row>
                    <xdr:rowOff>7620</xdr:rowOff>
                  </to>
                </anchor>
              </controlPr>
            </control>
          </mc:Choice>
        </mc:AlternateContent>
        <mc:AlternateContent xmlns:mc="http://schemas.openxmlformats.org/markup-compatibility/2006">
          <mc:Choice Requires="x14">
            <control shapeId="1240" r:id="rId94" name="Check Box 216">
              <controlPr defaultSize="0" autoFill="0" autoLine="0" autoPict="0">
                <anchor moveWithCells="1">
                  <from>
                    <xdr:col>5</xdr:col>
                    <xdr:colOff>182880</xdr:colOff>
                    <xdr:row>17</xdr:row>
                    <xdr:rowOff>0</xdr:rowOff>
                  </from>
                  <to>
                    <xdr:col>5</xdr:col>
                    <xdr:colOff>449580</xdr:colOff>
                    <xdr:row>18</xdr:row>
                    <xdr:rowOff>45720</xdr:rowOff>
                  </to>
                </anchor>
              </controlPr>
            </control>
          </mc:Choice>
        </mc:AlternateContent>
        <mc:AlternateContent xmlns:mc="http://schemas.openxmlformats.org/markup-compatibility/2006">
          <mc:Choice Requires="x14">
            <control shapeId="1241" r:id="rId95" name="Check Box 217">
              <controlPr defaultSize="0" autoFill="0" autoLine="0" autoPict="0">
                <anchor moveWithCells="1">
                  <from>
                    <xdr:col>5</xdr:col>
                    <xdr:colOff>182880</xdr:colOff>
                    <xdr:row>17</xdr:row>
                    <xdr:rowOff>175260</xdr:rowOff>
                  </from>
                  <to>
                    <xdr:col>5</xdr:col>
                    <xdr:colOff>449580</xdr:colOff>
                    <xdr:row>19</xdr:row>
                    <xdr:rowOff>22860</xdr:rowOff>
                  </to>
                </anchor>
              </controlPr>
            </control>
          </mc:Choice>
        </mc:AlternateContent>
        <mc:AlternateContent xmlns:mc="http://schemas.openxmlformats.org/markup-compatibility/2006">
          <mc:Choice Requires="x14">
            <control shapeId="1242" r:id="rId96" name="Check Box 218">
              <controlPr defaultSize="0" autoFill="0" autoLine="0" autoPict="0">
                <anchor moveWithCells="1">
                  <from>
                    <xdr:col>5</xdr:col>
                    <xdr:colOff>182880</xdr:colOff>
                    <xdr:row>19</xdr:row>
                    <xdr:rowOff>160020</xdr:rowOff>
                  </from>
                  <to>
                    <xdr:col>5</xdr:col>
                    <xdr:colOff>449580</xdr:colOff>
                    <xdr:row>21</xdr:row>
                    <xdr:rowOff>7620</xdr:rowOff>
                  </to>
                </anchor>
              </controlPr>
            </control>
          </mc:Choice>
        </mc:AlternateContent>
        <mc:AlternateContent xmlns:mc="http://schemas.openxmlformats.org/markup-compatibility/2006">
          <mc:Choice Requires="x14">
            <control shapeId="1243" r:id="rId97" name="Check Box 219">
              <controlPr defaultSize="0" autoFill="0" autoLine="0" autoPict="0">
                <anchor moveWithCells="1">
                  <from>
                    <xdr:col>5</xdr:col>
                    <xdr:colOff>182880</xdr:colOff>
                    <xdr:row>20</xdr:row>
                    <xdr:rowOff>160020</xdr:rowOff>
                  </from>
                  <to>
                    <xdr:col>5</xdr:col>
                    <xdr:colOff>449580</xdr:colOff>
                    <xdr:row>22</xdr:row>
                    <xdr:rowOff>22860</xdr:rowOff>
                  </to>
                </anchor>
              </controlPr>
            </control>
          </mc:Choice>
        </mc:AlternateContent>
        <mc:AlternateContent xmlns:mc="http://schemas.openxmlformats.org/markup-compatibility/2006">
          <mc:Choice Requires="x14">
            <control shapeId="1244" r:id="rId98" name="Check Box 220">
              <controlPr defaultSize="0" autoFill="0" autoLine="0" autoPict="0">
                <anchor moveWithCells="1">
                  <from>
                    <xdr:col>5</xdr:col>
                    <xdr:colOff>182880</xdr:colOff>
                    <xdr:row>21</xdr:row>
                    <xdr:rowOff>175260</xdr:rowOff>
                  </from>
                  <to>
                    <xdr:col>5</xdr:col>
                    <xdr:colOff>449580</xdr:colOff>
                    <xdr:row>23</xdr:row>
                    <xdr:rowOff>22860</xdr:rowOff>
                  </to>
                </anchor>
              </controlPr>
            </control>
          </mc:Choice>
        </mc:AlternateContent>
        <mc:AlternateContent xmlns:mc="http://schemas.openxmlformats.org/markup-compatibility/2006">
          <mc:Choice Requires="x14">
            <control shapeId="1246" r:id="rId99" name="Check Box 222">
              <controlPr defaultSize="0" autoFill="0" autoLine="0" autoPict="0">
                <anchor moveWithCells="1">
                  <from>
                    <xdr:col>5</xdr:col>
                    <xdr:colOff>182880</xdr:colOff>
                    <xdr:row>22</xdr:row>
                    <xdr:rowOff>175260</xdr:rowOff>
                  </from>
                  <to>
                    <xdr:col>5</xdr:col>
                    <xdr:colOff>449580</xdr:colOff>
                    <xdr:row>24</xdr:row>
                    <xdr:rowOff>22860</xdr:rowOff>
                  </to>
                </anchor>
              </controlPr>
            </control>
          </mc:Choice>
        </mc:AlternateContent>
        <mc:AlternateContent xmlns:mc="http://schemas.openxmlformats.org/markup-compatibility/2006">
          <mc:Choice Requires="x14">
            <control shapeId="1247" r:id="rId100" name="Check Box 223">
              <controlPr defaultSize="0" autoFill="0" autoLine="0" autoPict="0">
                <anchor moveWithCells="1">
                  <from>
                    <xdr:col>5</xdr:col>
                    <xdr:colOff>182880</xdr:colOff>
                    <xdr:row>23</xdr:row>
                    <xdr:rowOff>160020</xdr:rowOff>
                  </from>
                  <to>
                    <xdr:col>5</xdr:col>
                    <xdr:colOff>449580</xdr:colOff>
                    <xdr:row>25</xdr:row>
                    <xdr:rowOff>22860</xdr:rowOff>
                  </to>
                </anchor>
              </controlPr>
            </control>
          </mc:Choice>
        </mc:AlternateContent>
        <mc:AlternateContent xmlns:mc="http://schemas.openxmlformats.org/markup-compatibility/2006">
          <mc:Choice Requires="x14">
            <control shapeId="1249" r:id="rId101" name="Check Box 225">
              <controlPr defaultSize="0" autoFill="0" autoLine="0" autoPict="0">
                <anchor moveWithCells="1">
                  <from>
                    <xdr:col>5</xdr:col>
                    <xdr:colOff>182880</xdr:colOff>
                    <xdr:row>24</xdr:row>
                    <xdr:rowOff>160020</xdr:rowOff>
                  </from>
                  <to>
                    <xdr:col>5</xdr:col>
                    <xdr:colOff>449580</xdr:colOff>
                    <xdr:row>26</xdr:row>
                    <xdr:rowOff>22860</xdr:rowOff>
                  </to>
                </anchor>
              </controlPr>
            </control>
          </mc:Choice>
        </mc:AlternateContent>
        <mc:AlternateContent xmlns:mc="http://schemas.openxmlformats.org/markup-compatibility/2006">
          <mc:Choice Requires="x14">
            <control shapeId="1251" r:id="rId102" name="Check Box 227">
              <controlPr defaultSize="0" autoFill="0" autoLine="0" autoPict="0">
                <anchor moveWithCells="1">
                  <from>
                    <xdr:col>5</xdr:col>
                    <xdr:colOff>182880</xdr:colOff>
                    <xdr:row>25</xdr:row>
                    <xdr:rowOff>175260</xdr:rowOff>
                  </from>
                  <to>
                    <xdr:col>5</xdr:col>
                    <xdr:colOff>449580</xdr:colOff>
                    <xdr:row>27</xdr:row>
                    <xdr:rowOff>22860</xdr:rowOff>
                  </to>
                </anchor>
              </controlPr>
            </control>
          </mc:Choice>
        </mc:AlternateContent>
        <mc:AlternateContent xmlns:mc="http://schemas.openxmlformats.org/markup-compatibility/2006">
          <mc:Choice Requires="x14">
            <control shapeId="1252" r:id="rId103" name="Check Box 228">
              <controlPr defaultSize="0" autoFill="0" autoLine="0" autoPict="0">
                <anchor moveWithCells="1">
                  <from>
                    <xdr:col>5</xdr:col>
                    <xdr:colOff>182880</xdr:colOff>
                    <xdr:row>26</xdr:row>
                    <xdr:rowOff>182880</xdr:rowOff>
                  </from>
                  <to>
                    <xdr:col>5</xdr:col>
                    <xdr:colOff>449580</xdr:colOff>
                    <xdr:row>28</xdr:row>
                    <xdr:rowOff>30480</xdr:rowOff>
                  </to>
                </anchor>
              </controlPr>
            </control>
          </mc:Choice>
        </mc:AlternateContent>
        <mc:AlternateContent xmlns:mc="http://schemas.openxmlformats.org/markup-compatibility/2006">
          <mc:Choice Requires="x14">
            <control shapeId="1254" r:id="rId104" name="Check Box 230">
              <controlPr defaultSize="0" autoFill="0" autoLine="0" autoPict="0">
                <anchor moveWithCells="1">
                  <from>
                    <xdr:col>5</xdr:col>
                    <xdr:colOff>182880</xdr:colOff>
                    <xdr:row>27</xdr:row>
                    <xdr:rowOff>175260</xdr:rowOff>
                  </from>
                  <to>
                    <xdr:col>5</xdr:col>
                    <xdr:colOff>449580</xdr:colOff>
                    <xdr:row>29</xdr:row>
                    <xdr:rowOff>22860</xdr:rowOff>
                  </to>
                </anchor>
              </controlPr>
            </control>
          </mc:Choice>
        </mc:AlternateContent>
        <mc:AlternateContent xmlns:mc="http://schemas.openxmlformats.org/markup-compatibility/2006">
          <mc:Choice Requires="x14">
            <control shapeId="1256" r:id="rId105" name="Check Box 232">
              <controlPr defaultSize="0" autoFill="0" autoLine="0" autoPict="0">
                <anchor moveWithCells="1">
                  <from>
                    <xdr:col>5</xdr:col>
                    <xdr:colOff>182880</xdr:colOff>
                    <xdr:row>28</xdr:row>
                    <xdr:rowOff>175260</xdr:rowOff>
                  </from>
                  <to>
                    <xdr:col>5</xdr:col>
                    <xdr:colOff>449580</xdr:colOff>
                    <xdr:row>30</xdr:row>
                    <xdr:rowOff>22860</xdr:rowOff>
                  </to>
                </anchor>
              </controlPr>
            </control>
          </mc:Choice>
        </mc:AlternateContent>
        <mc:AlternateContent xmlns:mc="http://schemas.openxmlformats.org/markup-compatibility/2006">
          <mc:Choice Requires="x14">
            <control shapeId="1258" r:id="rId106" name="Check Box 234">
              <controlPr defaultSize="0" autoFill="0" autoLine="0" autoPict="0">
                <anchor moveWithCells="1">
                  <from>
                    <xdr:col>5</xdr:col>
                    <xdr:colOff>182880</xdr:colOff>
                    <xdr:row>29</xdr:row>
                    <xdr:rowOff>175260</xdr:rowOff>
                  </from>
                  <to>
                    <xdr:col>5</xdr:col>
                    <xdr:colOff>449580</xdr:colOff>
                    <xdr:row>31</xdr:row>
                    <xdr:rowOff>22860</xdr:rowOff>
                  </to>
                </anchor>
              </controlPr>
            </control>
          </mc:Choice>
        </mc:AlternateContent>
        <mc:AlternateContent xmlns:mc="http://schemas.openxmlformats.org/markup-compatibility/2006">
          <mc:Choice Requires="x14">
            <control shapeId="1259" r:id="rId107" name="Check Box 235">
              <controlPr defaultSize="0" autoFill="0" autoLine="0" autoPict="0">
                <anchor moveWithCells="1">
                  <from>
                    <xdr:col>5</xdr:col>
                    <xdr:colOff>182880</xdr:colOff>
                    <xdr:row>30</xdr:row>
                    <xdr:rowOff>152400</xdr:rowOff>
                  </from>
                  <to>
                    <xdr:col>5</xdr:col>
                    <xdr:colOff>449580</xdr:colOff>
                    <xdr:row>32</xdr:row>
                    <xdr:rowOff>7620</xdr:rowOff>
                  </to>
                </anchor>
              </controlPr>
            </control>
          </mc:Choice>
        </mc:AlternateContent>
        <mc:AlternateContent xmlns:mc="http://schemas.openxmlformats.org/markup-compatibility/2006">
          <mc:Choice Requires="x14">
            <control shapeId="1261" r:id="rId108" name="Check Box 237">
              <controlPr defaultSize="0" autoFill="0" autoLine="0" autoPict="0">
                <anchor moveWithCells="1">
                  <from>
                    <xdr:col>5</xdr:col>
                    <xdr:colOff>182880</xdr:colOff>
                    <xdr:row>31</xdr:row>
                    <xdr:rowOff>175260</xdr:rowOff>
                  </from>
                  <to>
                    <xdr:col>5</xdr:col>
                    <xdr:colOff>449580</xdr:colOff>
                    <xdr:row>33</xdr:row>
                    <xdr:rowOff>22860</xdr:rowOff>
                  </to>
                </anchor>
              </controlPr>
            </control>
          </mc:Choice>
        </mc:AlternateContent>
        <mc:AlternateContent xmlns:mc="http://schemas.openxmlformats.org/markup-compatibility/2006">
          <mc:Choice Requires="x14">
            <control shapeId="1263" r:id="rId109" name="Check Box 239">
              <controlPr defaultSize="0" autoFill="0" autoLine="0" autoPict="0">
                <anchor moveWithCells="1">
                  <from>
                    <xdr:col>5</xdr:col>
                    <xdr:colOff>182880</xdr:colOff>
                    <xdr:row>33</xdr:row>
                    <xdr:rowOff>175260</xdr:rowOff>
                  </from>
                  <to>
                    <xdr:col>5</xdr:col>
                    <xdr:colOff>449580</xdr:colOff>
                    <xdr:row>35</xdr:row>
                    <xdr:rowOff>30480</xdr:rowOff>
                  </to>
                </anchor>
              </controlPr>
            </control>
          </mc:Choice>
        </mc:AlternateContent>
        <mc:AlternateContent xmlns:mc="http://schemas.openxmlformats.org/markup-compatibility/2006">
          <mc:Choice Requires="x14">
            <control shapeId="1264" r:id="rId110" name="Check Box 240">
              <controlPr defaultSize="0" autoFill="0" autoLine="0" autoPict="0">
                <anchor moveWithCells="1">
                  <from>
                    <xdr:col>5</xdr:col>
                    <xdr:colOff>182880</xdr:colOff>
                    <xdr:row>34</xdr:row>
                    <xdr:rowOff>182880</xdr:rowOff>
                  </from>
                  <to>
                    <xdr:col>5</xdr:col>
                    <xdr:colOff>449580</xdr:colOff>
                    <xdr:row>36</xdr:row>
                    <xdr:rowOff>30480</xdr:rowOff>
                  </to>
                </anchor>
              </controlPr>
            </control>
          </mc:Choice>
        </mc:AlternateContent>
        <mc:AlternateContent xmlns:mc="http://schemas.openxmlformats.org/markup-compatibility/2006">
          <mc:Choice Requires="x14">
            <control shapeId="1265" r:id="rId111" name="Check Box 241">
              <controlPr defaultSize="0" autoFill="0" autoLine="0" autoPict="0">
                <anchor moveWithCells="1">
                  <from>
                    <xdr:col>5</xdr:col>
                    <xdr:colOff>182880</xdr:colOff>
                    <xdr:row>35</xdr:row>
                    <xdr:rowOff>182880</xdr:rowOff>
                  </from>
                  <to>
                    <xdr:col>5</xdr:col>
                    <xdr:colOff>449580</xdr:colOff>
                    <xdr:row>37</xdr:row>
                    <xdr:rowOff>30480</xdr:rowOff>
                  </to>
                </anchor>
              </controlPr>
            </control>
          </mc:Choice>
        </mc:AlternateContent>
        <mc:AlternateContent xmlns:mc="http://schemas.openxmlformats.org/markup-compatibility/2006">
          <mc:Choice Requires="x14">
            <control shapeId="1266" r:id="rId112" name="Check Box 242">
              <controlPr defaultSize="0" autoFill="0" autoLine="0" autoPict="0">
                <anchor moveWithCells="1">
                  <from>
                    <xdr:col>5</xdr:col>
                    <xdr:colOff>182880</xdr:colOff>
                    <xdr:row>36</xdr:row>
                    <xdr:rowOff>175260</xdr:rowOff>
                  </from>
                  <to>
                    <xdr:col>5</xdr:col>
                    <xdr:colOff>449580</xdr:colOff>
                    <xdr:row>38</xdr:row>
                    <xdr:rowOff>22860</xdr:rowOff>
                  </to>
                </anchor>
              </controlPr>
            </control>
          </mc:Choice>
        </mc:AlternateContent>
        <mc:AlternateContent xmlns:mc="http://schemas.openxmlformats.org/markup-compatibility/2006">
          <mc:Choice Requires="x14">
            <control shapeId="1268" r:id="rId113" name="Check Box 244">
              <controlPr defaultSize="0" autoFill="0" autoLine="0" autoPict="0">
                <anchor moveWithCells="1">
                  <from>
                    <xdr:col>5</xdr:col>
                    <xdr:colOff>182880</xdr:colOff>
                    <xdr:row>38</xdr:row>
                    <xdr:rowOff>175260</xdr:rowOff>
                  </from>
                  <to>
                    <xdr:col>5</xdr:col>
                    <xdr:colOff>449580</xdr:colOff>
                    <xdr:row>40</xdr:row>
                    <xdr:rowOff>30480</xdr:rowOff>
                  </to>
                </anchor>
              </controlPr>
            </control>
          </mc:Choice>
        </mc:AlternateContent>
        <mc:AlternateContent xmlns:mc="http://schemas.openxmlformats.org/markup-compatibility/2006">
          <mc:Choice Requires="x14">
            <control shapeId="1269" r:id="rId114" name="Check Box 245">
              <controlPr defaultSize="0" autoFill="0" autoLine="0" autoPict="0">
                <anchor moveWithCells="1">
                  <from>
                    <xdr:col>5</xdr:col>
                    <xdr:colOff>182880</xdr:colOff>
                    <xdr:row>39</xdr:row>
                    <xdr:rowOff>152400</xdr:rowOff>
                  </from>
                  <to>
                    <xdr:col>5</xdr:col>
                    <xdr:colOff>449580</xdr:colOff>
                    <xdr:row>41</xdr:row>
                    <xdr:rowOff>7620</xdr:rowOff>
                  </to>
                </anchor>
              </controlPr>
            </control>
          </mc:Choice>
        </mc:AlternateContent>
        <mc:AlternateContent xmlns:mc="http://schemas.openxmlformats.org/markup-compatibility/2006">
          <mc:Choice Requires="x14">
            <control shapeId="1270" r:id="rId115" name="Check Box 246">
              <controlPr defaultSize="0" autoFill="0" autoLine="0" autoPict="0">
                <anchor moveWithCells="1">
                  <from>
                    <xdr:col>5</xdr:col>
                    <xdr:colOff>182880</xdr:colOff>
                    <xdr:row>40</xdr:row>
                    <xdr:rowOff>175260</xdr:rowOff>
                  </from>
                  <to>
                    <xdr:col>5</xdr:col>
                    <xdr:colOff>449580</xdr:colOff>
                    <xdr:row>42</xdr:row>
                    <xdr:rowOff>22860</xdr:rowOff>
                  </to>
                </anchor>
              </controlPr>
            </control>
          </mc:Choice>
        </mc:AlternateContent>
        <mc:AlternateContent xmlns:mc="http://schemas.openxmlformats.org/markup-compatibility/2006">
          <mc:Choice Requires="x14">
            <control shapeId="1271" r:id="rId116" name="Check Box 247">
              <controlPr defaultSize="0" autoFill="0" autoLine="0" autoPict="0">
                <anchor moveWithCells="1">
                  <from>
                    <xdr:col>5</xdr:col>
                    <xdr:colOff>182880</xdr:colOff>
                    <xdr:row>41</xdr:row>
                    <xdr:rowOff>175260</xdr:rowOff>
                  </from>
                  <to>
                    <xdr:col>5</xdr:col>
                    <xdr:colOff>449580</xdr:colOff>
                    <xdr:row>43</xdr:row>
                    <xdr:rowOff>22860</xdr:rowOff>
                  </to>
                </anchor>
              </controlPr>
            </control>
          </mc:Choice>
        </mc:AlternateContent>
        <mc:AlternateContent xmlns:mc="http://schemas.openxmlformats.org/markup-compatibility/2006">
          <mc:Choice Requires="x14">
            <control shapeId="1272" r:id="rId117" name="Check Box 248">
              <controlPr defaultSize="0" autoFill="0" autoLine="0" autoPict="0">
                <anchor moveWithCells="1">
                  <from>
                    <xdr:col>5</xdr:col>
                    <xdr:colOff>182880</xdr:colOff>
                    <xdr:row>42</xdr:row>
                    <xdr:rowOff>175260</xdr:rowOff>
                  </from>
                  <to>
                    <xdr:col>5</xdr:col>
                    <xdr:colOff>449580</xdr:colOff>
                    <xdr:row>44</xdr:row>
                    <xdr:rowOff>22860</xdr:rowOff>
                  </to>
                </anchor>
              </controlPr>
            </control>
          </mc:Choice>
        </mc:AlternateContent>
        <mc:AlternateContent xmlns:mc="http://schemas.openxmlformats.org/markup-compatibility/2006">
          <mc:Choice Requires="x14">
            <control shapeId="1273" r:id="rId118" name="Check Box 249">
              <controlPr defaultSize="0" autoFill="0" autoLine="0" autoPict="0">
                <anchor moveWithCells="1">
                  <from>
                    <xdr:col>5</xdr:col>
                    <xdr:colOff>182880</xdr:colOff>
                    <xdr:row>44</xdr:row>
                    <xdr:rowOff>182880</xdr:rowOff>
                  </from>
                  <to>
                    <xdr:col>5</xdr:col>
                    <xdr:colOff>449580</xdr:colOff>
                    <xdr:row>46</xdr:row>
                    <xdr:rowOff>30480</xdr:rowOff>
                  </to>
                </anchor>
              </controlPr>
            </control>
          </mc:Choice>
        </mc:AlternateContent>
        <mc:AlternateContent xmlns:mc="http://schemas.openxmlformats.org/markup-compatibility/2006">
          <mc:Choice Requires="x14">
            <control shapeId="1274" r:id="rId119" name="Check Box 250">
              <controlPr defaultSize="0" autoFill="0" autoLine="0" autoPict="0">
                <anchor moveWithCells="1">
                  <from>
                    <xdr:col>5</xdr:col>
                    <xdr:colOff>182880</xdr:colOff>
                    <xdr:row>45</xdr:row>
                    <xdr:rowOff>175260</xdr:rowOff>
                  </from>
                  <to>
                    <xdr:col>5</xdr:col>
                    <xdr:colOff>449580</xdr:colOff>
                    <xdr:row>47</xdr:row>
                    <xdr:rowOff>22860</xdr:rowOff>
                  </to>
                </anchor>
              </controlPr>
            </control>
          </mc:Choice>
        </mc:AlternateContent>
        <mc:AlternateContent xmlns:mc="http://schemas.openxmlformats.org/markup-compatibility/2006">
          <mc:Choice Requires="x14">
            <control shapeId="1276" r:id="rId120" name="Check Box 252">
              <controlPr defaultSize="0" autoFill="0" autoLine="0" autoPict="0">
                <anchor moveWithCells="1">
                  <from>
                    <xdr:col>5</xdr:col>
                    <xdr:colOff>182880</xdr:colOff>
                    <xdr:row>47</xdr:row>
                    <xdr:rowOff>175260</xdr:rowOff>
                  </from>
                  <to>
                    <xdr:col>5</xdr:col>
                    <xdr:colOff>449580</xdr:colOff>
                    <xdr:row>49</xdr:row>
                    <xdr:rowOff>30480</xdr:rowOff>
                  </to>
                </anchor>
              </controlPr>
            </control>
          </mc:Choice>
        </mc:AlternateContent>
        <mc:AlternateContent xmlns:mc="http://schemas.openxmlformats.org/markup-compatibility/2006">
          <mc:Choice Requires="x14">
            <control shapeId="1277" r:id="rId121" name="Check Box 253">
              <controlPr defaultSize="0" autoFill="0" autoLine="0" autoPict="0">
                <anchor moveWithCells="1">
                  <from>
                    <xdr:col>10</xdr:col>
                    <xdr:colOff>175260</xdr:colOff>
                    <xdr:row>2</xdr:row>
                    <xdr:rowOff>190500</xdr:rowOff>
                  </from>
                  <to>
                    <xdr:col>10</xdr:col>
                    <xdr:colOff>441960</xdr:colOff>
                    <xdr:row>4</xdr:row>
                    <xdr:rowOff>30480</xdr:rowOff>
                  </to>
                </anchor>
              </controlPr>
            </control>
          </mc:Choice>
        </mc:AlternateContent>
        <mc:AlternateContent xmlns:mc="http://schemas.openxmlformats.org/markup-compatibility/2006">
          <mc:Choice Requires="x14">
            <control shapeId="1278" r:id="rId122" name="Check Box 254">
              <controlPr defaultSize="0" autoFill="0" autoLine="0" autoPict="0">
                <anchor moveWithCells="1">
                  <from>
                    <xdr:col>10</xdr:col>
                    <xdr:colOff>175260</xdr:colOff>
                    <xdr:row>3</xdr:row>
                    <xdr:rowOff>160020</xdr:rowOff>
                  </from>
                  <to>
                    <xdr:col>10</xdr:col>
                    <xdr:colOff>441960</xdr:colOff>
                    <xdr:row>5</xdr:row>
                    <xdr:rowOff>7620</xdr:rowOff>
                  </to>
                </anchor>
              </controlPr>
            </control>
          </mc:Choice>
        </mc:AlternateContent>
        <mc:AlternateContent xmlns:mc="http://schemas.openxmlformats.org/markup-compatibility/2006">
          <mc:Choice Requires="x14">
            <control shapeId="1279" r:id="rId123" name="Check Box 255">
              <controlPr defaultSize="0" autoFill="0" autoLine="0" autoPict="0">
                <anchor moveWithCells="1">
                  <from>
                    <xdr:col>10</xdr:col>
                    <xdr:colOff>175260</xdr:colOff>
                    <xdr:row>4</xdr:row>
                    <xdr:rowOff>160020</xdr:rowOff>
                  </from>
                  <to>
                    <xdr:col>10</xdr:col>
                    <xdr:colOff>441960</xdr:colOff>
                    <xdr:row>6</xdr:row>
                    <xdr:rowOff>7620</xdr:rowOff>
                  </to>
                </anchor>
              </controlPr>
            </control>
          </mc:Choice>
        </mc:AlternateContent>
        <mc:AlternateContent xmlns:mc="http://schemas.openxmlformats.org/markup-compatibility/2006">
          <mc:Choice Requires="x14">
            <control shapeId="1280" r:id="rId124" name="Check Box 256">
              <controlPr defaultSize="0" autoFill="0" autoLine="0" autoPict="0">
                <anchor moveWithCells="1">
                  <from>
                    <xdr:col>10</xdr:col>
                    <xdr:colOff>175260</xdr:colOff>
                    <xdr:row>5</xdr:row>
                    <xdr:rowOff>152400</xdr:rowOff>
                  </from>
                  <to>
                    <xdr:col>10</xdr:col>
                    <xdr:colOff>441960</xdr:colOff>
                    <xdr:row>7</xdr:row>
                    <xdr:rowOff>0</xdr:rowOff>
                  </to>
                </anchor>
              </controlPr>
            </control>
          </mc:Choice>
        </mc:AlternateContent>
        <mc:AlternateContent xmlns:mc="http://schemas.openxmlformats.org/markup-compatibility/2006">
          <mc:Choice Requires="x14">
            <control shapeId="1281" r:id="rId125" name="Check Box 257">
              <controlPr defaultSize="0" autoFill="0" autoLine="0" autoPict="0">
                <anchor moveWithCells="1">
                  <from>
                    <xdr:col>10</xdr:col>
                    <xdr:colOff>175260</xdr:colOff>
                    <xdr:row>6</xdr:row>
                    <xdr:rowOff>144780</xdr:rowOff>
                  </from>
                  <to>
                    <xdr:col>10</xdr:col>
                    <xdr:colOff>441960</xdr:colOff>
                    <xdr:row>7</xdr:row>
                    <xdr:rowOff>175260</xdr:rowOff>
                  </to>
                </anchor>
              </controlPr>
            </control>
          </mc:Choice>
        </mc:AlternateContent>
        <mc:AlternateContent xmlns:mc="http://schemas.openxmlformats.org/markup-compatibility/2006">
          <mc:Choice Requires="x14">
            <control shapeId="1282" r:id="rId126" name="Check Box 258">
              <controlPr defaultSize="0" autoFill="0" autoLine="0" autoPict="0">
                <anchor moveWithCells="1">
                  <from>
                    <xdr:col>10</xdr:col>
                    <xdr:colOff>175260</xdr:colOff>
                    <xdr:row>7</xdr:row>
                    <xdr:rowOff>175260</xdr:rowOff>
                  </from>
                  <to>
                    <xdr:col>10</xdr:col>
                    <xdr:colOff>441960</xdr:colOff>
                    <xdr:row>9</xdr:row>
                    <xdr:rowOff>22860</xdr:rowOff>
                  </to>
                </anchor>
              </controlPr>
            </control>
          </mc:Choice>
        </mc:AlternateContent>
        <mc:AlternateContent xmlns:mc="http://schemas.openxmlformats.org/markup-compatibility/2006">
          <mc:Choice Requires="x14">
            <control shapeId="1284" r:id="rId127" name="Check Box 260">
              <controlPr defaultSize="0" autoFill="0" autoLine="0" autoPict="0">
                <anchor moveWithCells="1">
                  <from>
                    <xdr:col>10</xdr:col>
                    <xdr:colOff>175260</xdr:colOff>
                    <xdr:row>9</xdr:row>
                    <xdr:rowOff>160020</xdr:rowOff>
                  </from>
                  <to>
                    <xdr:col>10</xdr:col>
                    <xdr:colOff>441960</xdr:colOff>
                    <xdr:row>11</xdr:row>
                    <xdr:rowOff>30480</xdr:rowOff>
                  </to>
                </anchor>
              </controlPr>
            </control>
          </mc:Choice>
        </mc:AlternateContent>
        <mc:AlternateContent xmlns:mc="http://schemas.openxmlformats.org/markup-compatibility/2006">
          <mc:Choice Requires="x14">
            <control shapeId="1285" r:id="rId128" name="Check Box 261">
              <controlPr defaultSize="0" autoFill="0" autoLine="0" autoPict="0">
                <anchor moveWithCells="1">
                  <from>
                    <xdr:col>10</xdr:col>
                    <xdr:colOff>175260</xdr:colOff>
                    <xdr:row>10</xdr:row>
                    <xdr:rowOff>160020</xdr:rowOff>
                  </from>
                  <to>
                    <xdr:col>10</xdr:col>
                    <xdr:colOff>441960</xdr:colOff>
                    <xdr:row>12</xdr:row>
                    <xdr:rowOff>7620</xdr:rowOff>
                  </to>
                </anchor>
              </controlPr>
            </control>
          </mc:Choice>
        </mc:AlternateContent>
        <mc:AlternateContent xmlns:mc="http://schemas.openxmlformats.org/markup-compatibility/2006">
          <mc:Choice Requires="x14">
            <control shapeId="1286" r:id="rId129" name="Check Box 262">
              <controlPr defaultSize="0" autoFill="0" autoLine="0" autoPict="0">
                <anchor moveWithCells="1">
                  <from>
                    <xdr:col>10</xdr:col>
                    <xdr:colOff>175260</xdr:colOff>
                    <xdr:row>11</xdr:row>
                    <xdr:rowOff>175260</xdr:rowOff>
                  </from>
                  <to>
                    <xdr:col>10</xdr:col>
                    <xdr:colOff>441960</xdr:colOff>
                    <xdr:row>13</xdr:row>
                    <xdr:rowOff>22860</xdr:rowOff>
                  </to>
                </anchor>
              </controlPr>
            </control>
          </mc:Choice>
        </mc:AlternateContent>
        <mc:AlternateContent xmlns:mc="http://schemas.openxmlformats.org/markup-compatibility/2006">
          <mc:Choice Requires="x14">
            <control shapeId="1287" r:id="rId130" name="Check Box 263">
              <controlPr defaultSize="0" autoFill="0" autoLine="0" autoPict="0">
                <anchor moveWithCells="1">
                  <from>
                    <xdr:col>10</xdr:col>
                    <xdr:colOff>175260</xdr:colOff>
                    <xdr:row>12</xdr:row>
                    <xdr:rowOff>182880</xdr:rowOff>
                  </from>
                  <to>
                    <xdr:col>10</xdr:col>
                    <xdr:colOff>441960</xdr:colOff>
                    <xdr:row>14</xdr:row>
                    <xdr:rowOff>22860</xdr:rowOff>
                  </to>
                </anchor>
              </controlPr>
            </control>
          </mc:Choice>
        </mc:AlternateContent>
        <mc:AlternateContent xmlns:mc="http://schemas.openxmlformats.org/markup-compatibility/2006">
          <mc:Choice Requires="x14">
            <control shapeId="1288" r:id="rId131" name="Check Box 264">
              <controlPr defaultSize="0" autoFill="0" autoLine="0" autoPict="0">
                <anchor moveWithCells="1">
                  <from>
                    <xdr:col>10</xdr:col>
                    <xdr:colOff>175260</xdr:colOff>
                    <xdr:row>13</xdr:row>
                    <xdr:rowOff>152400</xdr:rowOff>
                  </from>
                  <to>
                    <xdr:col>10</xdr:col>
                    <xdr:colOff>441960</xdr:colOff>
                    <xdr:row>15</xdr:row>
                    <xdr:rowOff>0</xdr:rowOff>
                  </to>
                </anchor>
              </controlPr>
            </control>
          </mc:Choice>
        </mc:AlternateContent>
        <mc:AlternateContent xmlns:mc="http://schemas.openxmlformats.org/markup-compatibility/2006">
          <mc:Choice Requires="x14">
            <control shapeId="1289" r:id="rId132" name="Check Box 265">
              <controlPr defaultSize="0" autoFill="0" autoLine="0" autoPict="0">
                <anchor moveWithCells="1">
                  <from>
                    <xdr:col>10</xdr:col>
                    <xdr:colOff>175260</xdr:colOff>
                    <xdr:row>14</xdr:row>
                    <xdr:rowOff>160020</xdr:rowOff>
                  </from>
                  <to>
                    <xdr:col>10</xdr:col>
                    <xdr:colOff>441960</xdr:colOff>
                    <xdr:row>16</xdr:row>
                    <xdr:rowOff>7620</xdr:rowOff>
                  </to>
                </anchor>
              </controlPr>
            </control>
          </mc:Choice>
        </mc:AlternateContent>
        <mc:AlternateContent xmlns:mc="http://schemas.openxmlformats.org/markup-compatibility/2006">
          <mc:Choice Requires="x14">
            <control shapeId="1292" r:id="rId133" name="Check Box 268">
              <controlPr defaultSize="0" autoFill="0" autoLine="0" autoPict="0">
                <anchor moveWithCells="1">
                  <from>
                    <xdr:col>10</xdr:col>
                    <xdr:colOff>175260</xdr:colOff>
                    <xdr:row>17</xdr:row>
                    <xdr:rowOff>0</xdr:rowOff>
                  </from>
                  <to>
                    <xdr:col>10</xdr:col>
                    <xdr:colOff>441960</xdr:colOff>
                    <xdr:row>18</xdr:row>
                    <xdr:rowOff>30480</xdr:rowOff>
                  </to>
                </anchor>
              </controlPr>
            </control>
          </mc:Choice>
        </mc:AlternateContent>
        <mc:AlternateContent xmlns:mc="http://schemas.openxmlformats.org/markup-compatibility/2006">
          <mc:Choice Requires="x14">
            <control shapeId="1293" r:id="rId134" name="Check Box 269">
              <controlPr defaultSize="0" autoFill="0" autoLine="0" autoPict="0">
                <anchor moveWithCells="1">
                  <from>
                    <xdr:col>10</xdr:col>
                    <xdr:colOff>175260</xdr:colOff>
                    <xdr:row>17</xdr:row>
                    <xdr:rowOff>160020</xdr:rowOff>
                  </from>
                  <to>
                    <xdr:col>10</xdr:col>
                    <xdr:colOff>441960</xdr:colOff>
                    <xdr:row>19</xdr:row>
                    <xdr:rowOff>7620</xdr:rowOff>
                  </to>
                </anchor>
              </controlPr>
            </control>
          </mc:Choice>
        </mc:AlternateContent>
        <mc:AlternateContent xmlns:mc="http://schemas.openxmlformats.org/markup-compatibility/2006">
          <mc:Choice Requires="x14">
            <control shapeId="1294" r:id="rId135" name="Check Box 270">
              <controlPr defaultSize="0" autoFill="0" autoLine="0" autoPict="0">
                <anchor moveWithCells="1">
                  <from>
                    <xdr:col>10</xdr:col>
                    <xdr:colOff>175260</xdr:colOff>
                    <xdr:row>19</xdr:row>
                    <xdr:rowOff>175260</xdr:rowOff>
                  </from>
                  <to>
                    <xdr:col>10</xdr:col>
                    <xdr:colOff>441960</xdr:colOff>
                    <xdr:row>21</xdr:row>
                    <xdr:rowOff>22860</xdr:rowOff>
                  </to>
                </anchor>
              </controlPr>
            </control>
          </mc:Choice>
        </mc:AlternateContent>
        <mc:AlternateContent xmlns:mc="http://schemas.openxmlformats.org/markup-compatibility/2006">
          <mc:Choice Requires="x14">
            <control shapeId="1295" r:id="rId136" name="Check Box 271">
              <controlPr defaultSize="0" autoFill="0" autoLine="0" autoPict="0">
                <anchor moveWithCells="1">
                  <from>
                    <xdr:col>10</xdr:col>
                    <xdr:colOff>175260</xdr:colOff>
                    <xdr:row>20</xdr:row>
                    <xdr:rowOff>160020</xdr:rowOff>
                  </from>
                  <to>
                    <xdr:col>10</xdr:col>
                    <xdr:colOff>441960</xdr:colOff>
                    <xdr:row>22</xdr:row>
                    <xdr:rowOff>7620</xdr:rowOff>
                  </to>
                </anchor>
              </controlPr>
            </control>
          </mc:Choice>
        </mc:AlternateContent>
        <mc:AlternateContent xmlns:mc="http://schemas.openxmlformats.org/markup-compatibility/2006">
          <mc:Choice Requires="x14">
            <control shapeId="1296" r:id="rId137" name="Check Box 272">
              <controlPr defaultSize="0" autoFill="0" autoLine="0" autoPict="0">
                <anchor moveWithCells="1">
                  <from>
                    <xdr:col>10</xdr:col>
                    <xdr:colOff>175260</xdr:colOff>
                    <xdr:row>21</xdr:row>
                    <xdr:rowOff>152400</xdr:rowOff>
                  </from>
                  <to>
                    <xdr:col>10</xdr:col>
                    <xdr:colOff>441960</xdr:colOff>
                    <xdr:row>23</xdr:row>
                    <xdr:rowOff>0</xdr:rowOff>
                  </to>
                </anchor>
              </controlPr>
            </control>
          </mc:Choice>
        </mc:AlternateContent>
        <mc:AlternateContent xmlns:mc="http://schemas.openxmlformats.org/markup-compatibility/2006">
          <mc:Choice Requires="x14">
            <control shapeId="1298" r:id="rId138" name="Check Box 274">
              <controlPr defaultSize="0" autoFill="0" autoLine="0" autoPict="0">
                <anchor moveWithCells="1">
                  <from>
                    <xdr:col>10</xdr:col>
                    <xdr:colOff>175260</xdr:colOff>
                    <xdr:row>22</xdr:row>
                    <xdr:rowOff>160020</xdr:rowOff>
                  </from>
                  <to>
                    <xdr:col>10</xdr:col>
                    <xdr:colOff>441960</xdr:colOff>
                    <xdr:row>24</xdr:row>
                    <xdr:rowOff>7620</xdr:rowOff>
                  </to>
                </anchor>
              </controlPr>
            </control>
          </mc:Choice>
        </mc:AlternateContent>
        <mc:AlternateContent xmlns:mc="http://schemas.openxmlformats.org/markup-compatibility/2006">
          <mc:Choice Requires="x14">
            <control shapeId="1299" r:id="rId139" name="Check Box 275">
              <controlPr defaultSize="0" autoFill="0" autoLine="0" autoPict="0">
                <anchor moveWithCells="1">
                  <from>
                    <xdr:col>10</xdr:col>
                    <xdr:colOff>175260</xdr:colOff>
                    <xdr:row>23</xdr:row>
                    <xdr:rowOff>160020</xdr:rowOff>
                  </from>
                  <to>
                    <xdr:col>10</xdr:col>
                    <xdr:colOff>441960</xdr:colOff>
                    <xdr:row>25</xdr:row>
                    <xdr:rowOff>7620</xdr:rowOff>
                  </to>
                </anchor>
              </controlPr>
            </control>
          </mc:Choice>
        </mc:AlternateContent>
        <mc:AlternateContent xmlns:mc="http://schemas.openxmlformats.org/markup-compatibility/2006">
          <mc:Choice Requires="x14">
            <control shapeId="1301" r:id="rId140" name="Check Box 277">
              <controlPr defaultSize="0" autoFill="0" autoLine="0" autoPict="0">
                <anchor moveWithCells="1">
                  <from>
                    <xdr:col>10</xdr:col>
                    <xdr:colOff>175260</xdr:colOff>
                    <xdr:row>24</xdr:row>
                    <xdr:rowOff>152400</xdr:rowOff>
                  </from>
                  <to>
                    <xdr:col>10</xdr:col>
                    <xdr:colOff>441960</xdr:colOff>
                    <xdr:row>26</xdr:row>
                    <xdr:rowOff>0</xdr:rowOff>
                  </to>
                </anchor>
              </controlPr>
            </control>
          </mc:Choice>
        </mc:AlternateContent>
        <mc:AlternateContent xmlns:mc="http://schemas.openxmlformats.org/markup-compatibility/2006">
          <mc:Choice Requires="x14">
            <control shapeId="1302" r:id="rId141" name="Check Box 278">
              <controlPr defaultSize="0" autoFill="0" autoLine="0" autoPict="0">
                <anchor moveWithCells="1">
                  <from>
                    <xdr:col>10</xdr:col>
                    <xdr:colOff>175260</xdr:colOff>
                    <xdr:row>38</xdr:row>
                    <xdr:rowOff>175260</xdr:rowOff>
                  </from>
                  <to>
                    <xdr:col>10</xdr:col>
                    <xdr:colOff>441960</xdr:colOff>
                    <xdr:row>40</xdr:row>
                    <xdr:rowOff>30480</xdr:rowOff>
                  </to>
                </anchor>
              </controlPr>
            </control>
          </mc:Choice>
        </mc:AlternateContent>
        <mc:AlternateContent xmlns:mc="http://schemas.openxmlformats.org/markup-compatibility/2006">
          <mc:Choice Requires="x14">
            <control shapeId="1304" r:id="rId142" name="Check Box 280">
              <controlPr defaultSize="0" autoFill="0" autoLine="0" autoPict="0">
                <anchor moveWithCells="1">
                  <from>
                    <xdr:col>10</xdr:col>
                    <xdr:colOff>175260</xdr:colOff>
                    <xdr:row>25</xdr:row>
                    <xdr:rowOff>175260</xdr:rowOff>
                  </from>
                  <to>
                    <xdr:col>10</xdr:col>
                    <xdr:colOff>441960</xdr:colOff>
                    <xdr:row>27</xdr:row>
                    <xdr:rowOff>22860</xdr:rowOff>
                  </to>
                </anchor>
              </controlPr>
            </control>
          </mc:Choice>
        </mc:AlternateContent>
        <mc:AlternateContent xmlns:mc="http://schemas.openxmlformats.org/markup-compatibility/2006">
          <mc:Choice Requires="x14">
            <control shapeId="1305" r:id="rId143" name="Check Box 281">
              <controlPr defaultSize="0" autoFill="0" autoLine="0" autoPict="0">
                <anchor moveWithCells="1">
                  <from>
                    <xdr:col>10</xdr:col>
                    <xdr:colOff>175260</xdr:colOff>
                    <xdr:row>26</xdr:row>
                    <xdr:rowOff>175260</xdr:rowOff>
                  </from>
                  <to>
                    <xdr:col>10</xdr:col>
                    <xdr:colOff>441960</xdr:colOff>
                    <xdr:row>28</xdr:row>
                    <xdr:rowOff>22860</xdr:rowOff>
                  </to>
                </anchor>
              </controlPr>
            </control>
          </mc:Choice>
        </mc:AlternateContent>
        <mc:AlternateContent xmlns:mc="http://schemas.openxmlformats.org/markup-compatibility/2006">
          <mc:Choice Requires="x14">
            <control shapeId="1307" r:id="rId144" name="Check Box 283">
              <controlPr defaultSize="0" autoFill="0" autoLine="0" autoPict="0">
                <anchor moveWithCells="1">
                  <from>
                    <xdr:col>10</xdr:col>
                    <xdr:colOff>175260</xdr:colOff>
                    <xdr:row>27</xdr:row>
                    <xdr:rowOff>175260</xdr:rowOff>
                  </from>
                  <to>
                    <xdr:col>10</xdr:col>
                    <xdr:colOff>441960</xdr:colOff>
                    <xdr:row>29</xdr:row>
                    <xdr:rowOff>22860</xdr:rowOff>
                  </to>
                </anchor>
              </controlPr>
            </control>
          </mc:Choice>
        </mc:AlternateContent>
        <mc:AlternateContent xmlns:mc="http://schemas.openxmlformats.org/markup-compatibility/2006">
          <mc:Choice Requires="x14">
            <control shapeId="1309" r:id="rId145" name="Check Box 285">
              <controlPr defaultSize="0" autoFill="0" autoLine="0" autoPict="0">
                <anchor moveWithCells="1">
                  <from>
                    <xdr:col>10</xdr:col>
                    <xdr:colOff>175260</xdr:colOff>
                    <xdr:row>28</xdr:row>
                    <xdr:rowOff>175260</xdr:rowOff>
                  </from>
                  <to>
                    <xdr:col>10</xdr:col>
                    <xdr:colOff>441960</xdr:colOff>
                    <xdr:row>30</xdr:row>
                    <xdr:rowOff>22860</xdr:rowOff>
                  </to>
                </anchor>
              </controlPr>
            </control>
          </mc:Choice>
        </mc:AlternateContent>
        <mc:AlternateContent xmlns:mc="http://schemas.openxmlformats.org/markup-compatibility/2006">
          <mc:Choice Requires="x14">
            <control shapeId="1311" r:id="rId146" name="Check Box 287">
              <controlPr defaultSize="0" autoFill="0" autoLine="0" autoPict="0">
                <anchor moveWithCells="1">
                  <from>
                    <xdr:col>10</xdr:col>
                    <xdr:colOff>175260</xdr:colOff>
                    <xdr:row>29</xdr:row>
                    <xdr:rowOff>175260</xdr:rowOff>
                  </from>
                  <to>
                    <xdr:col>10</xdr:col>
                    <xdr:colOff>441960</xdr:colOff>
                    <xdr:row>31</xdr:row>
                    <xdr:rowOff>7620</xdr:rowOff>
                  </to>
                </anchor>
              </controlPr>
            </control>
          </mc:Choice>
        </mc:AlternateContent>
        <mc:AlternateContent xmlns:mc="http://schemas.openxmlformats.org/markup-compatibility/2006">
          <mc:Choice Requires="x14">
            <control shapeId="1312" r:id="rId147" name="Check Box 288">
              <controlPr defaultSize="0" autoFill="0" autoLine="0" autoPict="0">
                <anchor moveWithCells="1">
                  <from>
                    <xdr:col>10</xdr:col>
                    <xdr:colOff>175260</xdr:colOff>
                    <xdr:row>30</xdr:row>
                    <xdr:rowOff>175260</xdr:rowOff>
                  </from>
                  <to>
                    <xdr:col>10</xdr:col>
                    <xdr:colOff>441960</xdr:colOff>
                    <xdr:row>32</xdr:row>
                    <xdr:rowOff>7620</xdr:rowOff>
                  </to>
                </anchor>
              </controlPr>
            </control>
          </mc:Choice>
        </mc:AlternateContent>
        <mc:AlternateContent xmlns:mc="http://schemas.openxmlformats.org/markup-compatibility/2006">
          <mc:Choice Requires="x14">
            <control shapeId="1314" r:id="rId148" name="Check Box 290">
              <controlPr defaultSize="0" autoFill="0" autoLine="0" autoPict="0">
                <anchor moveWithCells="1">
                  <from>
                    <xdr:col>10</xdr:col>
                    <xdr:colOff>175260</xdr:colOff>
                    <xdr:row>31</xdr:row>
                    <xdr:rowOff>175260</xdr:rowOff>
                  </from>
                  <to>
                    <xdr:col>10</xdr:col>
                    <xdr:colOff>441960</xdr:colOff>
                    <xdr:row>33</xdr:row>
                    <xdr:rowOff>22860</xdr:rowOff>
                  </to>
                </anchor>
              </controlPr>
            </control>
          </mc:Choice>
        </mc:AlternateContent>
        <mc:AlternateContent xmlns:mc="http://schemas.openxmlformats.org/markup-compatibility/2006">
          <mc:Choice Requires="x14">
            <control shapeId="1316" r:id="rId149" name="Check Box 292">
              <controlPr defaultSize="0" autoFill="0" autoLine="0" autoPict="0">
                <anchor moveWithCells="1">
                  <from>
                    <xdr:col>10</xdr:col>
                    <xdr:colOff>175260</xdr:colOff>
                    <xdr:row>33</xdr:row>
                    <xdr:rowOff>152400</xdr:rowOff>
                  </from>
                  <to>
                    <xdr:col>10</xdr:col>
                    <xdr:colOff>441960</xdr:colOff>
                    <xdr:row>35</xdr:row>
                    <xdr:rowOff>30480</xdr:rowOff>
                  </to>
                </anchor>
              </controlPr>
            </control>
          </mc:Choice>
        </mc:AlternateContent>
        <mc:AlternateContent xmlns:mc="http://schemas.openxmlformats.org/markup-compatibility/2006">
          <mc:Choice Requires="x14">
            <control shapeId="1317" r:id="rId150" name="Check Box 293">
              <controlPr defaultSize="0" autoFill="0" autoLine="0" autoPict="0">
                <anchor moveWithCells="1">
                  <from>
                    <xdr:col>10</xdr:col>
                    <xdr:colOff>175260</xdr:colOff>
                    <xdr:row>34</xdr:row>
                    <xdr:rowOff>152400</xdr:rowOff>
                  </from>
                  <to>
                    <xdr:col>10</xdr:col>
                    <xdr:colOff>441960</xdr:colOff>
                    <xdr:row>36</xdr:row>
                    <xdr:rowOff>0</xdr:rowOff>
                  </to>
                </anchor>
              </controlPr>
            </control>
          </mc:Choice>
        </mc:AlternateContent>
        <mc:AlternateContent xmlns:mc="http://schemas.openxmlformats.org/markup-compatibility/2006">
          <mc:Choice Requires="x14">
            <control shapeId="1318" r:id="rId151" name="Check Box 294">
              <controlPr defaultSize="0" autoFill="0" autoLine="0" autoPict="0">
                <anchor moveWithCells="1">
                  <from>
                    <xdr:col>10</xdr:col>
                    <xdr:colOff>175260</xdr:colOff>
                    <xdr:row>35</xdr:row>
                    <xdr:rowOff>175260</xdr:rowOff>
                  </from>
                  <to>
                    <xdr:col>10</xdr:col>
                    <xdr:colOff>441960</xdr:colOff>
                    <xdr:row>37</xdr:row>
                    <xdr:rowOff>7620</xdr:rowOff>
                  </to>
                </anchor>
              </controlPr>
            </control>
          </mc:Choice>
        </mc:AlternateContent>
        <mc:AlternateContent xmlns:mc="http://schemas.openxmlformats.org/markup-compatibility/2006">
          <mc:Choice Requires="x14">
            <control shapeId="1319" r:id="rId152" name="Check Box 295">
              <controlPr defaultSize="0" autoFill="0" autoLine="0" autoPict="0">
                <anchor moveWithCells="1">
                  <from>
                    <xdr:col>10</xdr:col>
                    <xdr:colOff>175260</xdr:colOff>
                    <xdr:row>36</xdr:row>
                    <xdr:rowOff>175260</xdr:rowOff>
                  </from>
                  <to>
                    <xdr:col>10</xdr:col>
                    <xdr:colOff>441960</xdr:colOff>
                    <xdr:row>38</xdr:row>
                    <xdr:rowOff>22860</xdr:rowOff>
                  </to>
                </anchor>
              </controlPr>
            </control>
          </mc:Choice>
        </mc:AlternateContent>
        <mc:AlternateContent xmlns:mc="http://schemas.openxmlformats.org/markup-compatibility/2006">
          <mc:Choice Requires="x14">
            <control shapeId="1321" r:id="rId153" name="Check Box 297">
              <controlPr defaultSize="0" autoFill="0" autoLine="0" autoPict="0">
                <anchor moveWithCells="1">
                  <from>
                    <xdr:col>10</xdr:col>
                    <xdr:colOff>175260</xdr:colOff>
                    <xdr:row>39</xdr:row>
                    <xdr:rowOff>175260</xdr:rowOff>
                  </from>
                  <to>
                    <xdr:col>10</xdr:col>
                    <xdr:colOff>441960</xdr:colOff>
                    <xdr:row>41</xdr:row>
                    <xdr:rowOff>22860</xdr:rowOff>
                  </to>
                </anchor>
              </controlPr>
            </control>
          </mc:Choice>
        </mc:AlternateContent>
        <mc:AlternateContent xmlns:mc="http://schemas.openxmlformats.org/markup-compatibility/2006">
          <mc:Choice Requires="x14">
            <control shapeId="1322" r:id="rId154" name="Check Box 298">
              <controlPr defaultSize="0" autoFill="0" autoLine="0" autoPict="0">
                <anchor moveWithCells="1">
                  <from>
                    <xdr:col>10</xdr:col>
                    <xdr:colOff>175260</xdr:colOff>
                    <xdr:row>40</xdr:row>
                    <xdr:rowOff>175260</xdr:rowOff>
                  </from>
                  <to>
                    <xdr:col>10</xdr:col>
                    <xdr:colOff>441960</xdr:colOff>
                    <xdr:row>42</xdr:row>
                    <xdr:rowOff>7620</xdr:rowOff>
                  </to>
                </anchor>
              </controlPr>
            </control>
          </mc:Choice>
        </mc:AlternateContent>
        <mc:AlternateContent xmlns:mc="http://schemas.openxmlformats.org/markup-compatibility/2006">
          <mc:Choice Requires="x14">
            <control shapeId="1323" r:id="rId155" name="Check Box 299">
              <controlPr defaultSize="0" autoFill="0" autoLine="0" autoPict="0">
                <anchor moveWithCells="1">
                  <from>
                    <xdr:col>10</xdr:col>
                    <xdr:colOff>175260</xdr:colOff>
                    <xdr:row>41</xdr:row>
                    <xdr:rowOff>175260</xdr:rowOff>
                  </from>
                  <to>
                    <xdr:col>10</xdr:col>
                    <xdr:colOff>441960</xdr:colOff>
                    <xdr:row>43</xdr:row>
                    <xdr:rowOff>22860</xdr:rowOff>
                  </to>
                </anchor>
              </controlPr>
            </control>
          </mc:Choice>
        </mc:AlternateContent>
        <mc:AlternateContent xmlns:mc="http://schemas.openxmlformats.org/markup-compatibility/2006">
          <mc:Choice Requires="x14">
            <control shapeId="1324" r:id="rId156" name="Check Box 300">
              <controlPr defaultSize="0" autoFill="0" autoLine="0" autoPict="0">
                <anchor moveWithCells="1">
                  <from>
                    <xdr:col>10</xdr:col>
                    <xdr:colOff>175260</xdr:colOff>
                    <xdr:row>42</xdr:row>
                    <xdr:rowOff>175260</xdr:rowOff>
                  </from>
                  <to>
                    <xdr:col>10</xdr:col>
                    <xdr:colOff>441960</xdr:colOff>
                    <xdr:row>44</xdr:row>
                    <xdr:rowOff>7620</xdr:rowOff>
                  </to>
                </anchor>
              </controlPr>
            </control>
          </mc:Choice>
        </mc:AlternateContent>
        <mc:AlternateContent xmlns:mc="http://schemas.openxmlformats.org/markup-compatibility/2006">
          <mc:Choice Requires="x14">
            <control shapeId="1325" r:id="rId157" name="Check Box 301">
              <controlPr defaultSize="0" autoFill="0" autoLine="0" autoPict="0">
                <anchor moveWithCells="1">
                  <from>
                    <xdr:col>10</xdr:col>
                    <xdr:colOff>175260</xdr:colOff>
                    <xdr:row>44</xdr:row>
                    <xdr:rowOff>175260</xdr:rowOff>
                  </from>
                  <to>
                    <xdr:col>10</xdr:col>
                    <xdr:colOff>441960</xdr:colOff>
                    <xdr:row>46</xdr:row>
                    <xdr:rowOff>22860</xdr:rowOff>
                  </to>
                </anchor>
              </controlPr>
            </control>
          </mc:Choice>
        </mc:AlternateContent>
        <mc:AlternateContent xmlns:mc="http://schemas.openxmlformats.org/markup-compatibility/2006">
          <mc:Choice Requires="x14">
            <control shapeId="1326" r:id="rId158" name="Check Box 302">
              <controlPr defaultSize="0" autoFill="0" autoLine="0" autoPict="0">
                <anchor moveWithCells="1">
                  <from>
                    <xdr:col>10</xdr:col>
                    <xdr:colOff>175260</xdr:colOff>
                    <xdr:row>45</xdr:row>
                    <xdr:rowOff>175260</xdr:rowOff>
                  </from>
                  <to>
                    <xdr:col>10</xdr:col>
                    <xdr:colOff>441960</xdr:colOff>
                    <xdr:row>47</xdr:row>
                    <xdr:rowOff>22860</xdr:rowOff>
                  </to>
                </anchor>
              </controlPr>
            </control>
          </mc:Choice>
        </mc:AlternateContent>
        <mc:AlternateContent xmlns:mc="http://schemas.openxmlformats.org/markup-compatibility/2006">
          <mc:Choice Requires="x14">
            <control shapeId="1328" r:id="rId159" name="Check Box 304">
              <controlPr defaultSize="0" autoFill="0" autoLine="0" autoPict="0">
                <anchor moveWithCells="1">
                  <from>
                    <xdr:col>10</xdr:col>
                    <xdr:colOff>175260</xdr:colOff>
                    <xdr:row>47</xdr:row>
                    <xdr:rowOff>182880</xdr:rowOff>
                  </from>
                  <to>
                    <xdr:col>10</xdr:col>
                    <xdr:colOff>441960</xdr:colOff>
                    <xdr:row>49</xdr:row>
                    <xdr:rowOff>22860</xdr:rowOff>
                  </to>
                </anchor>
              </controlPr>
            </control>
          </mc:Choice>
        </mc:AlternateContent>
        <mc:AlternateContent xmlns:mc="http://schemas.openxmlformats.org/markup-compatibility/2006">
          <mc:Choice Requires="x14">
            <control shapeId="1332" r:id="rId160" name="Check Box 308">
              <controlPr defaultSize="0" autoFill="0" autoLine="0" autoPict="0">
                <anchor moveWithCells="1">
                  <from>
                    <xdr:col>3</xdr:col>
                    <xdr:colOff>175260</xdr:colOff>
                    <xdr:row>48</xdr:row>
                    <xdr:rowOff>160020</xdr:rowOff>
                  </from>
                  <to>
                    <xdr:col>3</xdr:col>
                    <xdr:colOff>350520</xdr:colOff>
                    <xdr:row>49</xdr:row>
                    <xdr:rowOff>160020</xdr:rowOff>
                  </to>
                </anchor>
              </controlPr>
            </control>
          </mc:Choice>
        </mc:AlternateContent>
        <mc:AlternateContent xmlns:mc="http://schemas.openxmlformats.org/markup-compatibility/2006">
          <mc:Choice Requires="x14">
            <control shapeId="1333" r:id="rId161" name="Check Box 309">
              <controlPr defaultSize="0" autoFill="0" autoLine="0" autoPict="0">
                <anchor moveWithCells="1">
                  <from>
                    <xdr:col>3</xdr:col>
                    <xdr:colOff>160020</xdr:colOff>
                    <xdr:row>49</xdr:row>
                    <xdr:rowOff>152400</xdr:rowOff>
                  </from>
                  <to>
                    <xdr:col>3</xdr:col>
                    <xdr:colOff>335280</xdr:colOff>
                    <xdr:row>50</xdr:row>
                    <xdr:rowOff>152400</xdr:rowOff>
                  </to>
                </anchor>
              </controlPr>
            </control>
          </mc:Choice>
        </mc:AlternateContent>
        <mc:AlternateContent xmlns:mc="http://schemas.openxmlformats.org/markup-compatibility/2006">
          <mc:Choice Requires="x14">
            <control shapeId="1336" r:id="rId162" name="Check Box 312">
              <controlPr defaultSize="0" autoFill="0" autoLine="0" autoPict="0">
                <anchor moveWithCells="1">
                  <from>
                    <xdr:col>5</xdr:col>
                    <xdr:colOff>182880</xdr:colOff>
                    <xdr:row>48</xdr:row>
                    <xdr:rowOff>175260</xdr:rowOff>
                  </from>
                  <to>
                    <xdr:col>5</xdr:col>
                    <xdr:colOff>449580</xdr:colOff>
                    <xdr:row>50</xdr:row>
                    <xdr:rowOff>22860</xdr:rowOff>
                  </to>
                </anchor>
              </controlPr>
            </control>
          </mc:Choice>
        </mc:AlternateContent>
        <mc:AlternateContent xmlns:mc="http://schemas.openxmlformats.org/markup-compatibility/2006">
          <mc:Choice Requires="x14">
            <control shapeId="1337" r:id="rId163" name="Check Box 313">
              <controlPr defaultSize="0" autoFill="0" autoLine="0" autoPict="0">
                <anchor moveWithCells="1">
                  <from>
                    <xdr:col>5</xdr:col>
                    <xdr:colOff>182880</xdr:colOff>
                    <xdr:row>49</xdr:row>
                    <xdr:rowOff>160020</xdr:rowOff>
                  </from>
                  <to>
                    <xdr:col>5</xdr:col>
                    <xdr:colOff>449580</xdr:colOff>
                    <xdr:row>51</xdr:row>
                    <xdr:rowOff>7620</xdr:rowOff>
                  </to>
                </anchor>
              </controlPr>
            </control>
          </mc:Choice>
        </mc:AlternateContent>
        <mc:AlternateContent xmlns:mc="http://schemas.openxmlformats.org/markup-compatibility/2006">
          <mc:Choice Requires="x14">
            <control shapeId="1338" r:id="rId164" name="Check Box 314">
              <controlPr defaultSize="0" autoFill="0" autoLine="0" autoPict="0">
                <anchor moveWithCells="1">
                  <from>
                    <xdr:col>8</xdr:col>
                    <xdr:colOff>175260</xdr:colOff>
                    <xdr:row>48</xdr:row>
                    <xdr:rowOff>175260</xdr:rowOff>
                  </from>
                  <to>
                    <xdr:col>8</xdr:col>
                    <xdr:colOff>350520</xdr:colOff>
                    <xdr:row>49</xdr:row>
                    <xdr:rowOff>175260</xdr:rowOff>
                  </to>
                </anchor>
              </controlPr>
            </control>
          </mc:Choice>
        </mc:AlternateContent>
        <mc:AlternateContent xmlns:mc="http://schemas.openxmlformats.org/markup-compatibility/2006">
          <mc:Choice Requires="x14">
            <control shapeId="1339" r:id="rId165" name="Check Box 315">
              <controlPr defaultSize="0" autoFill="0" autoLine="0" autoPict="0">
                <anchor moveWithCells="1">
                  <from>
                    <xdr:col>8</xdr:col>
                    <xdr:colOff>175260</xdr:colOff>
                    <xdr:row>49</xdr:row>
                    <xdr:rowOff>175260</xdr:rowOff>
                  </from>
                  <to>
                    <xdr:col>8</xdr:col>
                    <xdr:colOff>350520</xdr:colOff>
                    <xdr:row>50</xdr:row>
                    <xdr:rowOff>175260</xdr:rowOff>
                  </to>
                </anchor>
              </controlPr>
            </control>
          </mc:Choice>
        </mc:AlternateContent>
        <mc:AlternateContent xmlns:mc="http://schemas.openxmlformats.org/markup-compatibility/2006">
          <mc:Choice Requires="x14">
            <control shapeId="1341" r:id="rId166" name="Check Box 317">
              <controlPr defaultSize="0" autoFill="0" autoLine="0" autoPict="0">
                <anchor moveWithCells="1">
                  <from>
                    <xdr:col>10</xdr:col>
                    <xdr:colOff>175260</xdr:colOff>
                    <xdr:row>48</xdr:row>
                    <xdr:rowOff>182880</xdr:rowOff>
                  </from>
                  <to>
                    <xdr:col>10</xdr:col>
                    <xdr:colOff>441960</xdr:colOff>
                    <xdr:row>50</xdr:row>
                    <xdr:rowOff>22860</xdr:rowOff>
                  </to>
                </anchor>
              </controlPr>
            </control>
          </mc:Choice>
        </mc:AlternateContent>
        <mc:AlternateContent xmlns:mc="http://schemas.openxmlformats.org/markup-compatibility/2006">
          <mc:Choice Requires="x14">
            <control shapeId="1342" r:id="rId167" name="Check Box 318">
              <controlPr defaultSize="0" autoFill="0" autoLine="0" autoPict="0">
                <anchor moveWithCells="1">
                  <from>
                    <xdr:col>10</xdr:col>
                    <xdr:colOff>175260</xdr:colOff>
                    <xdr:row>49</xdr:row>
                    <xdr:rowOff>182880</xdr:rowOff>
                  </from>
                  <to>
                    <xdr:col>10</xdr:col>
                    <xdr:colOff>441960</xdr:colOff>
                    <xdr:row>51</xdr:row>
                    <xdr:rowOff>22860</xdr:rowOff>
                  </to>
                </anchor>
              </controlPr>
            </control>
          </mc:Choice>
        </mc:AlternateContent>
        <mc:AlternateContent xmlns:mc="http://schemas.openxmlformats.org/markup-compatibility/2006">
          <mc:Choice Requires="x14">
            <control shapeId="1343" r:id="rId168" name="Check Box 319">
              <controlPr defaultSize="0" autoFill="0" autoLine="0" autoPict="0">
                <anchor moveWithCells="1">
                  <from>
                    <xdr:col>0</xdr:col>
                    <xdr:colOff>259080</xdr:colOff>
                    <xdr:row>3</xdr:row>
                    <xdr:rowOff>175260</xdr:rowOff>
                  </from>
                  <to>
                    <xdr:col>0</xdr:col>
                    <xdr:colOff>525780</xdr:colOff>
                    <xdr:row>5</xdr:row>
                    <xdr:rowOff>22860</xdr:rowOff>
                  </to>
                </anchor>
              </controlPr>
            </control>
          </mc:Choice>
        </mc:AlternateContent>
        <mc:AlternateContent xmlns:mc="http://schemas.openxmlformats.org/markup-compatibility/2006">
          <mc:Choice Requires="x14">
            <control shapeId="1344" r:id="rId169" name="Check Box 320">
              <controlPr defaultSize="0" autoFill="0" autoLine="0" autoPict="0">
                <anchor moveWithCells="1">
                  <from>
                    <xdr:col>3</xdr:col>
                    <xdr:colOff>175260</xdr:colOff>
                    <xdr:row>18</xdr:row>
                    <xdr:rowOff>160020</xdr:rowOff>
                  </from>
                  <to>
                    <xdr:col>3</xdr:col>
                    <xdr:colOff>350520</xdr:colOff>
                    <xdr:row>19</xdr:row>
                    <xdr:rowOff>160020</xdr:rowOff>
                  </to>
                </anchor>
              </controlPr>
            </control>
          </mc:Choice>
        </mc:AlternateContent>
        <mc:AlternateContent xmlns:mc="http://schemas.openxmlformats.org/markup-compatibility/2006">
          <mc:Choice Requires="x14">
            <control shapeId="1345" r:id="rId170" name="Check Box 321">
              <controlPr defaultSize="0" autoFill="0" autoLine="0" autoPict="0">
                <anchor moveWithCells="1">
                  <from>
                    <xdr:col>5</xdr:col>
                    <xdr:colOff>182880</xdr:colOff>
                    <xdr:row>18</xdr:row>
                    <xdr:rowOff>152400</xdr:rowOff>
                  </from>
                  <to>
                    <xdr:col>5</xdr:col>
                    <xdr:colOff>449580</xdr:colOff>
                    <xdr:row>19</xdr:row>
                    <xdr:rowOff>182880</xdr:rowOff>
                  </to>
                </anchor>
              </controlPr>
            </control>
          </mc:Choice>
        </mc:AlternateContent>
        <mc:AlternateContent xmlns:mc="http://schemas.openxmlformats.org/markup-compatibility/2006">
          <mc:Choice Requires="x14">
            <control shapeId="1346" r:id="rId171" name="Check Box 322">
              <controlPr defaultSize="0" autoFill="0" autoLine="0" autoPict="0">
                <anchor moveWithCells="1">
                  <from>
                    <xdr:col>8</xdr:col>
                    <xdr:colOff>175260</xdr:colOff>
                    <xdr:row>18</xdr:row>
                    <xdr:rowOff>175260</xdr:rowOff>
                  </from>
                  <to>
                    <xdr:col>8</xdr:col>
                    <xdr:colOff>350520</xdr:colOff>
                    <xdr:row>19</xdr:row>
                    <xdr:rowOff>175260</xdr:rowOff>
                  </to>
                </anchor>
              </controlPr>
            </control>
          </mc:Choice>
        </mc:AlternateContent>
        <mc:AlternateContent xmlns:mc="http://schemas.openxmlformats.org/markup-compatibility/2006">
          <mc:Choice Requires="x14">
            <control shapeId="1347" r:id="rId172" name="Check Box 323">
              <controlPr defaultSize="0" autoFill="0" autoLine="0" autoPict="0">
                <anchor moveWithCells="1">
                  <from>
                    <xdr:col>10</xdr:col>
                    <xdr:colOff>175260</xdr:colOff>
                    <xdr:row>18</xdr:row>
                    <xdr:rowOff>160020</xdr:rowOff>
                  </from>
                  <to>
                    <xdr:col>10</xdr:col>
                    <xdr:colOff>441960</xdr:colOff>
                    <xdr:row>20</xdr:row>
                    <xdr:rowOff>7620</xdr:rowOff>
                  </to>
                </anchor>
              </controlPr>
            </control>
          </mc:Choice>
        </mc:AlternateContent>
        <mc:AlternateContent xmlns:mc="http://schemas.openxmlformats.org/markup-compatibility/2006">
          <mc:Choice Requires="x14">
            <control shapeId="1348" r:id="rId173" name="Check Box 324">
              <controlPr defaultSize="0" autoFill="0" autoLine="0" autoPict="0">
                <anchor moveWithCells="1">
                  <from>
                    <xdr:col>3</xdr:col>
                    <xdr:colOff>160020</xdr:colOff>
                    <xdr:row>52</xdr:row>
                    <xdr:rowOff>7620</xdr:rowOff>
                  </from>
                  <to>
                    <xdr:col>3</xdr:col>
                    <xdr:colOff>335280</xdr:colOff>
                    <xdr:row>53</xdr:row>
                    <xdr:rowOff>7620</xdr:rowOff>
                  </to>
                </anchor>
              </controlPr>
            </control>
          </mc:Choice>
        </mc:AlternateContent>
        <mc:AlternateContent xmlns:mc="http://schemas.openxmlformats.org/markup-compatibility/2006">
          <mc:Choice Requires="x14">
            <control shapeId="1349" r:id="rId174" name="Check Box 325">
              <controlPr defaultSize="0" autoFill="0" autoLine="0" autoPict="0">
                <anchor moveWithCells="1">
                  <from>
                    <xdr:col>3</xdr:col>
                    <xdr:colOff>160020</xdr:colOff>
                    <xdr:row>52</xdr:row>
                    <xdr:rowOff>175260</xdr:rowOff>
                  </from>
                  <to>
                    <xdr:col>3</xdr:col>
                    <xdr:colOff>335280</xdr:colOff>
                    <xdr:row>53</xdr:row>
                    <xdr:rowOff>175260</xdr:rowOff>
                  </to>
                </anchor>
              </controlPr>
            </control>
          </mc:Choice>
        </mc:AlternateContent>
        <mc:AlternateContent xmlns:mc="http://schemas.openxmlformats.org/markup-compatibility/2006">
          <mc:Choice Requires="x14">
            <control shapeId="1350" r:id="rId175" name="Check Box 326">
              <controlPr defaultSize="0" autoFill="0" autoLine="0" autoPict="0">
                <anchor moveWithCells="1">
                  <from>
                    <xdr:col>3</xdr:col>
                    <xdr:colOff>160020</xdr:colOff>
                    <xdr:row>53</xdr:row>
                    <xdr:rowOff>144780</xdr:rowOff>
                  </from>
                  <to>
                    <xdr:col>3</xdr:col>
                    <xdr:colOff>335280</xdr:colOff>
                    <xdr:row>54</xdr:row>
                    <xdr:rowOff>144780</xdr:rowOff>
                  </to>
                </anchor>
              </controlPr>
            </control>
          </mc:Choice>
        </mc:AlternateContent>
        <mc:AlternateContent xmlns:mc="http://schemas.openxmlformats.org/markup-compatibility/2006">
          <mc:Choice Requires="x14">
            <control shapeId="1351" r:id="rId176" name="Check Box 327">
              <controlPr defaultSize="0" autoFill="0" autoLine="0" autoPict="0">
                <anchor moveWithCells="1">
                  <from>
                    <xdr:col>3</xdr:col>
                    <xdr:colOff>160020</xdr:colOff>
                    <xdr:row>54</xdr:row>
                    <xdr:rowOff>152400</xdr:rowOff>
                  </from>
                  <to>
                    <xdr:col>3</xdr:col>
                    <xdr:colOff>335280</xdr:colOff>
                    <xdr:row>55</xdr:row>
                    <xdr:rowOff>152400</xdr:rowOff>
                  </to>
                </anchor>
              </controlPr>
            </control>
          </mc:Choice>
        </mc:AlternateContent>
        <mc:AlternateContent xmlns:mc="http://schemas.openxmlformats.org/markup-compatibility/2006">
          <mc:Choice Requires="x14">
            <control shapeId="1352" r:id="rId177" name="Check Box 328">
              <controlPr defaultSize="0" autoFill="0" autoLine="0" autoPict="0">
                <anchor moveWithCells="1">
                  <from>
                    <xdr:col>5</xdr:col>
                    <xdr:colOff>182880</xdr:colOff>
                    <xdr:row>52</xdr:row>
                    <xdr:rowOff>7620</xdr:rowOff>
                  </from>
                  <to>
                    <xdr:col>5</xdr:col>
                    <xdr:colOff>449580</xdr:colOff>
                    <xdr:row>53</xdr:row>
                    <xdr:rowOff>38100</xdr:rowOff>
                  </to>
                </anchor>
              </controlPr>
            </control>
          </mc:Choice>
        </mc:AlternateContent>
        <mc:AlternateContent xmlns:mc="http://schemas.openxmlformats.org/markup-compatibility/2006">
          <mc:Choice Requires="x14">
            <control shapeId="1353" r:id="rId178" name="Check Box 329">
              <controlPr defaultSize="0" autoFill="0" autoLine="0" autoPict="0">
                <anchor moveWithCells="1">
                  <from>
                    <xdr:col>5</xdr:col>
                    <xdr:colOff>182880</xdr:colOff>
                    <xdr:row>52</xdr:row>
                    <xdr:rowOff>182880</xdr:rowOff>
                  </from>
                  <to>
                    <xdr:col>5</xdr:col>
                    <xdr:colOff>449580</xdr:colOff>
                    <xdr:row>54</xdr:row>
                    <xdr:rowOff>30480</xdr:rowOff>
                  </to>
                </anchor>
              </controlPr>
            </control>
          </mc:Choice>
        </mc:AlternateContent>
        <mc:AlternateContent xmlns:mc="http://schemas.openxmlformats.org/markup-compatibility/2006">
          <mc:Choice Requires="x14">
            <control shapeId="1354" r:id="rId179" name="Check Box 330">
              <controlPr defaultSize="0" autoFill="0" autoLine="0" autoPict="0">
                <anchor moveWithCells="1">
                  <from>
                    <xdr:col>5</xdr:col>
                    <xdr:colOff>182880</xdr:colOff>
                    <xdr:row>54</xdr:row>
                    <xdr:rowOff>0</xdr:rowOff>
                  </from>
                  <to>
                    <xdr:col>5</xdr:col>
                    <xdr:colOff>449580</xdr:colOff>
                    <xdr:row>55</xdr:row>
                    <xdr:rowOff>38100</xdr:rowOff>
                  </to>
                </anchor>
              </controlPr>
            </control>
          </mc:Choice>
        </mc:AlternateContent>
        <mc:AlternateContent xmlns:mc="http://schemas.openxmlformats.org/markup-compatibility/2006">
          <mc:Choice Requires="x14">
            <control shapeId="1355" r:id="rId180" name="Check Box 331">
              <controlPr defaultSize="0" autoFill="0" autoLine="0" autoPict="0">
                <anchor moveWithCells="1">
                  <from>
                    <xdr:col>5</xdr:col>
                    <xdr:colOff>182880</xdr:colOff>
                    <xdr:row>54</xdr:row>
                    <xdr:rowOff>160020</xdr:rowOff>
                  </from>
                  <to>
                    <xdr:col>5</xdr:col>
                    <xdr:colOff>449580</xdr:colOff>
                    <xdr:row>56</xdr:row>
                    <xdr:rowOff>22860</xdr:rowOff>
                  </to>
                </anchor>
              </controlPr>
            </control>
          </mc:Choice>
        </mc:AlternateContent>
        <mc:AlternateContent xmlns:mc="http://schemas.openxmlformats.org/markup-compatibility/2006">
          <mc:Choice Requires="x14">
            <control shapeId="1356" r:id="rId181" name="Check Box 332">
              <controlPr defaultSize="0" autoFill="0" autoLine="0" autoPict="0">
                <anchor moveWithCells="1">
                  <from>
                    <xdr:col>8</xdr:col>
                    <xdr:colOff>175260</xdr:colOff>
                    <xdr:row>52</xdr:row>
                    <xdr:rowOff>22860</xdr:rowOff>
                  </from>
                  <to>
                    <xdr:col>8</xdr:col>
                    <xdr:colOff>350520</xdr:colOff>
                    <xdr:row>53</xdr:row>
                    <xdr:rowOff>22860</xdr:rowOff>
                  </to>
                </anchor>
              </controlPr>
            </control>
          </mc:Choice>
        </mc:AlternateContent>
        <mc:AlternateContent xmlns:mc="http://schemas.openxmlformats.org/markup-compatibility/2006">
          <mc:Choice Requires="x14">
            <control shapeId="1357" r:id="rId182" name="Check Box 333">
              <controlPr defaultSize="0" autoFill="0" autoLine="0" autoPict="0">
                <anchor moveWithCells="1">
                  <from>
                    <xdr:col>8</xdr:col>
                    <xdr:colOff>175260</xdr:colOff>
                    <xdr:row>53</xdr:row>
                    <xdr:rowOff>7620</xdr:rowOff>
                  </from>
                  <to>
                    <xdr:col>8</xdr:col>
                    <xdr:colOff>350520</xdr:colOff>
                    <xdr:row>54</xdr:row>
                    <xdr:rowOff>22860</xdr:rowOff>
                  </to>
                </anchor>
              </controlPr>
            </control>
          </mc:Choice>
        </mc:AlternateContent>
        <mc:AlternateContent xmlns:mc="http://schemas.openxmlformats.org/markup-compatibility/2006">
          <mc:Choice Requires="x14">
            <control shapeId="1358" r:id="rId183" name="Check Box 334">
              <controlPr defaultSize="0" autoFill="0" autoLine="0" autoPict="0">
                <anchor moveWithCells="1">
                  <from>
                    <xdr:col>8</xdr:col>
                    <xdr:colOff>175260</xdr:colOff>
                    <xdr:row>53</xdr:row>
                    <xdr:rowOff>175260</xdr:rowOff>
                  </from>
                  <to>
                    <xdr:col>8</xdr:col>
                    <xdr:colOff>350520</xdr:colOff>
                    <xdr:row>54</xdr:row>
                    <xdr:rowOff>175260</xdr:rowOff>
                  </to>
                </anchor>
              </controlPr>
            </control>
          </mc:Choice>
        </mc:AlternateContent>
        <mc:AlternateContent xmlns:mc="http://schemas.openxmlformats.org/markup-compatibility/2006">
          <mc:Choice Requires="x14">
            <control shapeId="1359" r:id="rId184" name="Check Box 335">
              <controlPr defaultSize="0" autoFill="0" autoLine="0" autoPict="0">
                <anchor moveWithCells="1">
                  <from>
                    <xdr:col>8</xdr:col>
                    <xdr:colOff>175260</xdr:colOff>
                    <xdr:row>54</xdr:row>
                    <xdr:rowOff>175260</xdr:rowOff>
                  </from>
                  <to>
                    <xdr:col>8</xdr:col>
                    <xdr:colOff>350520</xdr:colOff>
                    <xdr:row>55</xdr:row>
                    <xdr:rowOff>175260</xdr:rowOff>
                  </to>
                </anchor>
              </controlPr>
            </control>
          </mc:Choice>
        </mc:AlternateContent>
        <mc:AlternateContent xmlns:mc="http://schemas.openxmlformats.org/markup-compatibility/2006">
          <mc:Choice Requires="x14">
            <control shapeId="1360" r:id="rId185" name="Check Box 336">
              <controlPr defaultSize="0" autoFill="0" autoLine="0" autoPict="0">
                <anchor moveWithCells="1">
                  <from>
                    <xdr:col>10</xdr:col>
                    <xdr:colOff>175260</xdr:colOff>
                    <xdr:row>51</xdr:row>
                    <xdr:rowOff>30480</xdr:rowOff>
                  </from>
                  <to>
                    <xdr:col>10</xdr:col>
                    <xdr:colOff>441960</xdr:colOff>
                    <xdr:row>53</xdr:row>
                    <xdr:rowOff>22860</xdr:rowOff>
                  </to>
                </anchor>
              </controlPr>
            </control>
          </mc:Choice>
        </mc:AlternateContent>
        <mc:AlternateContent xmlns:mc="http://schemas.openxmlformats.org/markup-compatibility/2006">
          <mc:Choice Requires="x14">
            <control shapeId="1361" r:id="rId186" name="Check Box 337">
              <controlPr defaultSize="0" autoFill="0" autoLine="0" autoPict="0">
                <anchor moveWithCells="1">
                  <from>
                    <xdr:col>10</xdr:col>
                    <xdr:colOff>175260</xdr:colOff>
                    <xdr:row>52</xdr:row>
                    <xdr:rowOff>175260</xdr:rowOff>
                  </from>
                  <to>
                    <xdr:col>10</xdr:col>
                    <xdr:colOff>441960</xdr:colOff>
                    <xdr:row>54</xdr:row>
                    <xdr:rowOff>22860</xdr:rowOff>
                  </to>
                </anchor>
              </controlPr>
            </control>
          </mc:Choice>
        </mc:AlternateContent>
        <mc:AlternateContent xmlns:mc="http://schemas.openxmlformats.org/markup-compatibility/2006">
          <mc:Choice Requires="x14">
            <control shapeId="1362" r:id="rId187" name="Check Box 338">
              <controlPr defaultSize="0" autoFill="0" autoLine="0" autoPict="0">
                <anchor moveWithCells="1">
                  <from>
                    <xdr:col>10</xdr:col>
                    <xdr:colOff>175260</xdr:colOff>
                    <xdr:row>53</xdr:row>
                    <xdr:rowOff>175260</xdr:rowOff>
                  </from>
                  <to>
                    <xdr:col>10</xdr:col>
                    <xdr:colOff>441960</xdr:colOff>
                    <xdr:row>55</xdr:row>
                    <xdr:rowOff>7620</xdr:rowOff>
                  </to>
                </anchor>
              </controlPr>
            </control>
          </mc:Choice>
        </mc:AlternateContent>
        <mc:AlternateContent xmlns:mc="http://schemas.openxmlformats.org/markup-compatibility/2006">
          <mc:Choice Requires="x14">
            <control shapeId="1363" r:id="rId188" name="Check Box 339">
              <controlPr defaultSize="0" autoFill="0" autoLine="0" autoPict="0">
                <anchor moveWithCells="1">
                  <from>
                    <xdr:col>10</xdr:col>
                    <xdr:colOff>175260</xdr:colOff>
                    <xdr:row>54</xdr:row>
                    <xdr:rowOff>160020</xdr:rowOff>
                  </from>
                  <to>
                    <xdr:col>10</xdr:col>
                    <xdr:colOff>441960</xdr:colOff>
                    <xdr:row>55</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1">
    <pageSetUpPr fitToPage="1"/>
  </sheetPr>
  <dimension ref="A1:H35"/>
  <sheetViews>
    <sheetView showGridLines="0" topLeftCell="A7" zoomScaleNormal="100" workbookViewId="0">
      <selection activeCell="G12" sqref="G12"/>
    </sheetView>
  </sheetViews>
  <sheetFormatPr baseColWidth="10" defaultColWidth="11.5546875" defaultRowHeight="15.6" x14ac:dyDescent="0.3"/>
  <cols>
    <col min="1" max="1" width="14" style="163" customWidth="1"/>
    <col min="2" max="2" width="46.5546875" style="163" customWidth="1"/>
    <col min="3" max="3" width="12.5546875" style="163" customWidth="1"/>
    <col min="4" max="4" width="7.44140625" style="163" customWidth="1"/>
    <col min="5" max="5" width="12" style="163" customWidth="1"/>
    <col min="6" max="6" width="10.88671875" style="163" customWidth="1"/>
    <col min="7" max="9" width="11.5546875" style="163"/>
    <col min="10" max="10" width="18.6640625" style="163" customWidth="1"/>
    <col min="11" max="16384" width="11.5546875" style="163"/>
  </cols>
  <sheetData>
    <row r="1" spans="1:8" ht="15.6" customHeight="1" x14ac:dyDescent="0.3">
      <c r="A1" s="550" t="s">
        <v>312</v>
      </c>
      <c r="B1" s="550"/>
      <c r="C1" s="550"/>
      <c r="D1" s="550"/>
      <c r="E1" s="550"/>
      <c r="F1" s="550"/>
      <c r="G1" s="550"/>
    </row>
    <row r="2" spans="1:8" x14ac:dyDescent="0.3">
      <c r="A2" s="550"/>
      <c r="B2" s="550"/>
      <c r="C2" s="550"/>
      <c r="D2" s="550"/>
      <c r="E2" s="550"/>
      <c r="F2" s="550"/>
      <c r="G2" s="550"/>
    </row>
    <row r="3" spans="1:8" x14ac:dyDescent="0.3">
      <c r="A3" s="550"/>
      <c r="B3" s="550"/>
      <c r="C3" s="550"/>
      <c r="D3" s="550"/>
      <c r="E3" s="550"/>
      <c r="F3" s="550"/>
      <c r="G3" s="550"/>
    </row>
    <row r="4" spans="1:8" x14ac:dyDescent="0.3">
      <c r="A4" s="550"/>
      <c r="B4" s="550"/>
      <c r="C4" s="550"/>
      <c r="D4" s="550"/>
      <c r="E4" s="550"/>
      <c r="F4" s="550"/>
      <c r="G4" s="550"/>
    </row>
    <row r="5" spans="1:8" x14ac:dyDescent="0.3">
      <c r="A5" s="415"/>
      <c r="B5" s="415"/>
      <c r="C5" s="415"/>
      <c r="D5" s="415"/>
      <c r="E5" s="415"/>
      <c r="F5" s="415"/>
      <c r="G5" s="415"/>
    </row>
    <row r="6" spans="1:8" x14ac:dyDescent="0.3">
      <c r="A6" s="161" t="s">
        <v>252</v>
      </c>
      <c r="B6" s="415"/>
      <c r="C6" s="415"/>
      <c r="D6" s="415"/>
      <c r="E6" s="415"/>
      <c r="F6" s="415"/>
      <c r="G6" s="415"/>
    </row>
    <row r="7" spans="1:8" ht="16.2" thickBot="1" x14ac:dyDescent="0.35"/>
    <row r="8" spans="1:8" x14ac:dyDescent="0.3">
      <c r="A8" s="21" t="s">
        <v>60</v>
      </c>
      <c r="C8" s="551" t="s">
        <v>62</v>
      </c>
      <c r="E8" s="551" t="s">
        <v>63</v>
      </c>
    </row>
    <row r="9" spans="1:8" ht="16.2" thickBot="1" x14ac:dyDescent="0.35">
      <c r="A9" s="364" t="b">
        <v>1</v>
      </c>
      <c r="B9" s="189"/>
      <c r="C9" s="552"/>
      <c r="E9" s="552"/>
    </row>
    <row r="10" spans="1:8" ht="16.2" thickBot="1" x14ac:dyDescent="0.35">
      <c r="A10" s="192"/>
      <c r="B10" s="192"/>
      <c r="C10" s="189"/>
    </row>
    <row r="11" spans="1:8" ht="16.2" thickBot="1" x14ac:dyDescent="0.35">
      <c r="A11" s="193"/>
      <c r="B11" s="210" t="s">
        <v>61</v>
      </c>
      <c r="C11" s="205">
        <f>'1) Wareneinsatz'!G58</f>
        <v>7.4083250000000005</v>
      </c>
      <c r="E11" s="205">
        <f>'1) Wareneinsatz'!L58</f>
        <v>0</v>
      </c>
    </row>
    <row r="12" spans="1:8" x14ac:dyDescent="0.3">
      <c r="A12" s="194"/>
    </row>
    <row r="13" spans="1:8" x14ac:dyDescent="0.3">
      <c r="A13" s="195" t="s">
        <v>113</v>
      </c>
      <c r="B13" s="163" t="s">
        <v>114</v>
      </c>
      <c r="C13" s="370">
        <v>1.2</v>
      </c>
      <c r="E13" s="370">
        <v>1.2</v>
      </c>
      <c r="G13" s="197"/>
      <c r="H13" s="197"/>
    </row>
    <row r="14" spans="1:8" ht="16.2" thickBot="1" x14ac:dyDescent="0.35">
      <c r="A14" s="198"/>
    </row>
    <row r="15" spans="1:8" ht="16.2" thickBot="1" x14ac:dyDescent="0.35">
      <c r="A15" s="195" t="s">
        <v>74</v>
      </c>
      <c r="B15" s="214" t="s">
        <v>52</v>
      </c>
      <c r="C15" s="206">
        <f>C11+(C11*C13)</f>
        <v>16.298315000000002</v>
      </c>
      <c r="E15" s="206">
        <f>E11+(E11*E13)</f>
        <v>0</v>
      </c>
      <c r="G15" s="199"/>
    </row>
    <row r="16" spans="1:8" x14ac:dyDescent="0.3">
      <c r="A16" s="193"/>
      <c r="B16" s="211"/>
    </row>
    <row r="17" spans="1:5" x14ac:dyDescent="0.3">
      <c r="A17" s="195" t="s">
        <v>113</v>
      </c>
      <c r="B17" s="211" t="s">
        <v>115</v>
      </c>
      <c r="C17" s="370">
        <v>0.2</v>
      </c>
      <c r="E17" s="370">
        <v>0.2</v>
      </c>
    </row>
    <row r="18" spans="1:5" ht="16.2" thickBot="1" x14ac:dyDescent="0.35">
      <c r="A18" s="198"/>
      <c r="B18" s="211"/>
    </row>
    <row r="19" spans="1:5" ht="16.2" thickBot="1" x14ac:dyDescent="0.35">
      <c r="A19" s="195" t="s">
        <v>74</v>
      </c>
      <c r="B19" s="214" t="s">
        <v>53</v>
      </c>
      <c r="C19" s="206">
        <f>C15+(C15*C17)</f>
        <v>19.557978000000002</v>
      </c>
      <c r="E19" s="206">
        <f>E15+(E15*E17)</f>
        <v>0</v>
      </c>
    </row>
    <row r="20" spans="1:5" x14ac:dyDescent="0.3">
      <c r="A20" s="193"/>
      <c r="B20" s="211"/>
    </row>
    <row r="21" spans="1:5" x14ac:dyDescent="0.3">
      <c r="A21" s="195" t="s">
        <v>113</v>
      </c>
      <c r="B21" s="211" t="s">
        <v>116</v>
      </c>
      <c r="C21" s="370">
        <v>0.15</v>
      </c>
      <c r="E21" s="370">
        <v>0.15</v>
      </c>
    </row>
    <row r="22" spans="1:5" ht="16.2" thickBot="1" x14ac:dyDescent="0.35">
      <c r="A22" s="189"/>
      <c r="B22" s="211"/>
      <c r="C22" s="196"/>
      <c r="D22" s="145"/>
      <c r="E22" s="196"/>
    </row>
    <row r="23" spans="1:5" ht="16.2" thickBot="1" x14ac:dyDescent="0.35">
      <c r="A23" s="195" t="s">
        <v>74</v>
      </c>
      <c r="B23" s="215" t="s">
        <v>111</v>
      </c>
      <c r="C23" s="207">
        <f>C19+(C19*C21)</f>
        <v>22.491674700000001</v>
      </c>
      <c r="D23" s="188"/>
      <c r="E23" s="207">
        <f>E19+(E19*E21)</f>
        <v>0</v>
      </c>
    </row>
    <row r="24" spans="1:5" s="340" customFormat="1" ht="16.2" thickBot="1" x14ac:dyDescent="0.35">
      <c r="A24" s="339"/>
      <c r="B24" s="340" t="str">
        <f>IF('1) Wareneinsatz'!A5, "", "USt. 19 %")</f>
        <v/>
      </c>
      <c r="C24" s="341">
        <f>IF('1) Wareneinsatz'!A5, 0, 0.19)</f>
        <v>0</v>
      </c>
      <c r="D24" s="341"/>
      <c r="E24" s="341"/>
    </row>
    <row r="25" spans="1:5" ht="16.2" thickBot="1" x14ac:dyDescent="0.35">
      <c r="A25" s="208" t="s">
        <v>74</v>
      </c>
      <c r="B25" s="210" t="s">
        <v>110</v>
      </c>
      <c r="C25" s="209">
        <f>C23+(C23*C24)</f>
        <v>22.491674700000001</v>
      </c>
      <c r="D25" s="146"/>
      <c r="E25" s="209">
        <f>E23+(E23*D24)</f>
        <v>0</v>
      </c>
    </row>
    <row r="26" spans="1:5" x14ac:dyDescent="0.3">
      <c r="A26" s="193"/>
      <c r="D26" s="145"/>
    </row>
    <row r="27" spans="1:5" x14ac:dyDescent="0.3">
      <c r="A27" s="193"/>
      <c r="B27" s="212" t="s">
        <v>112</v>
      </c>
      <c r="C27" s="213">
        <f>IF('1) Wareneinsatz'!A5, (Preiskalkulation!C25/1.19), C23)</f>
        <v>18.900566974789918</v>
      </c>
      <c r="D27" s="159"/>
      <c r="E27" s="213">
        <f>IF('1) Wareneinsatz'!A5, (Preiskalkulation!E25/1.19), E23)</f>
        <v>0</v>
      </c>
    </row>
    <row r="28" spans="1:5" x14ac:dyDescent="0.3">
      <c r="A28" s="189"/>
      <c r="B28" s="212" t="s">
        <v>299</v>
      </c>
      <c r="C28" s="213">
        <f>IF('1) Wareneinsatz'!A5, (Preiskalkulation!C27*0.19), C27*0.19)</f>
        <v>3.5911077252100845</v>
      </c>
      <c r="D28" s="159"/>
      <c r="E28" s="213">
        <f>IF('1) Wareneinsatz'!A5, (Preiskalkulation!E27*0.19), E27*0.19)</f>
        <v>0</v>
      </c>
    </row>
    <row r="29" spans="1:5" x14ac:dyDescent="0.3">
      <c r="A29" s="200"/>
      <c r="D29" s="145"/>
    </row>
    <row r="30" spans="1:5" x14ac:dyDescent="0.3">
      <c r="A30" s="200"/>
      <c r="B30" s="189"/>
      <c r="C30" s="201"/>
      <c r="D30" s="202"/>
    </row>
    <row r="35" spans="1:1" x14ac:dyDescent="0.3">
      <c r="A35" s="100" t="s">
        <v>301</v>
      </c>
    </row>
  </sheetData>
  <sheetProtection selectLockedCells="1"/>
  <mergeCells count="3">
    <mergeCell ref="A1:G4"/>
    <mergeCell ref="C8:C9"/>
    <mergeCell ref="E8:E9"/>
  </mergeCells>
  <printOptions horizontalCentered="1"/>
  <pageMargins left="0.70866141732283472" right="0.70866141732283472" top="0.78740157480314965" bottom="0.19685039370078741"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297180</xdr:colOff>
                    <xdr:row>7</xdr:row>
                    <xdr:rowOff>175260</xdr:rowOff>
                  </from>
                  <to>
                    <xdr:col>0</xdr:col>
                    <xdr:colOff>563880</xdr:colOff>
                    <xdr:row>8</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17F2D-58FC-4F23-BB45-86689ACEDD34}">
  <sheetPr>
    <pageSetUpPr fitToPage="1"/>
  </sheetPr>
  <dimension ref="A1:E42"/>
  <sheetViews>
    <sheetView showGridLines="0" zoomScaleNormal="100" zoomScaleSheetLayoutView="80" workbookViewId="0">
      <selection activeCell="B30" sqref="B30"/>
    </sheetView>
  </sheetViews>
  <sheetFormatPr baseColWidth="10" defaultColWidth="11.5546875" defaultRowHeight="15.6" x14ac:dyDescent="0.3"/>
  <cols>
    <col min="1" max="1" width="36.33203125" style="163" customWidth="1"/>
    <col min="2" max="2" width="22.6640625" style="163" customWidth="1"/>
    <col min="3" max="3" width="24.6640625" style="163" customWidth="1"/>
    <col min="4" max="4" width="25.109375" style="163" customWidth="1"/>
    <col min="5" max="5" width="31" style="163" customWidth="1"/>
    <col min="6" max="16384" width="11.5546875" style="163"/>
  </cols>
  <sheetData>
    <row r="1" spans="1:5" x14ac:dyDescent="0.3">
      <c r="A1" s="161" t="s">
        <v>252</v>
      </c>
    </row>
    <row r="2" spans="1:5" x14ac:dyDescent="0.3">
      <c r="B2" s="162"/>
    </row>
    <row r="3" spans="1:5" x14ac:dyDescent="0.3">
      <c r="A3" s="385" t="str">
        <f>'1) Wareneinsatz'!A4</f>
        <v>Bruttorechner</v>
      </c>
    </row>
    <row r="4" spans="1:5" x14ac:dyDescent="0.3">
      <c r="A4" s="371" t="str">
        <f>'1) Wareneinsatz'!A4</f>
        <v>Bruttorechner</v>
      </c>
    </row>
    <row r="5" spans="1:5" ht="16.2" thickBot="1" x14ac:dyDescent="0.35"/>
    <row r="6" spans="1:5" x14ac:dyDescent="0.3">
      <c r="A6" s="164" t="s">
        <v>257</v>
      </c>
      <c r="B6" s="165"/>
      <c r="C6" s="165"/>
      <c r="D6" s="165"/>
      <c r="E6" s="166"/>
    </row>
    <row r="7" spans="1:5" x14ac:dyDescent="0.3">
      <c r="A7" s="556" t="s">
        <v>253</v>
      </c>
      <c r="B7" s="557" t="s">
        <v>65</v>
      </c>
      <c r="C7" s="558" t="s">
        <v>66</v>
      </c>
      <c r="D7" s="559" t="s">
        <v>285</v>
      </c>
      <c r="E7" s="560" t="s">
        <v>255</v>
      </c>
    </row>
    <row r="8" spans="1:5" x14ac:dyDescent="0.3">
      <c r="A8" s="556"/>
      <c r="B8" s="557"/>
      <c r="C8" s="558"/>
      <c r="D8" s="559"/>
      <c r="E8" s="560"/>
    </row>
    <row r="9" spans="1:5" x14ac:dyDescent="0.3">
      <c r="A9" s="170" t="s">
        <v>77</v>
      </c>
      <c r="B9" s="372">
        <v>1</v>
      </c>
      <c r="C9" s="373">
        <v>174</v>
      </c>
      <c r="D9" s="372">
        <v>2</v>
      </c>
      <c r="E9" s="219">
        <f>B9*C9*D9</f>
        <v>348</v>
      </c>
    </row>
    <row r="10" spans="1:5" x14ac:dyDescent="0.3">
      <c r="A10" s="170" t="s">
        <v>76</v>
      </c>
      <c r="B10" s="372">
        <v>2</v>
      </c>
      <c r="C10" s="373">
        <v>174</v>
      </c>
      <c r="D10" s="372">
        <v>3</v>
      </c>
      <c r="E10" s="219">
        <f t="shared" ref="E10:E11" si="0">B10*C10*D10</f>
        <v>1044</v>
      </c>
    </row>
    <row r="11" spans="1:5" x14ac:dyDescent="0.3">
      <c r="A11" s="170" t="s">
        <v>78</v>
      </c>
      <c r="B11" s="372">
        <v>1</v>
      </c>
      <c r="C11" s="373">
        <v>174</v>
      </c>
      <c r="D11" s="372">
        <v>5</v>
      </c>
      <c r="E11" s="219">
        <f t="shared" si="0"/>
        <v>870</v>
      </c>
    </row>
    <row r="12" spans="1:5" x14ac:dyDescent="0.3">
      <c r="A12" s="171" t="s">
        <v>70</v>
      </c>
      <c r="B12" s="216">
        <f>SUM(B9:B11)</f>
        <v>4</v>
      </c>
      <c r="C12" s="218">
        <f>B9*C9+B10*C10+B11*C11</f>
        <v>696</v>
      </c>
      <c r="D12" s="216"/>
      <c r="E12" s="220">
        <f>SUM(E9:E11)</f>
        <v>2262</v>
      </c>
    </row>
    <row r="13" spans="1:5" ht="16.2" thickBot="1" x14ac:dyDescent="0.35">
      <c r="A13" s="172" t="s">
        <v>254</v>
      </c>
      <c r="B13" s="173"/>
      <c r="C13" s="217">
        <f>((B9*C9)+(B10*C10)+(B11*C11))/B12</f>
        <v>174</v>
      </c>
      <c r="D13" s="217">
        <f>(D9+D10+D10+D11)/B12</f>
        <v>3.25</v>
      </c>
      <c r="E13" s="174"/>
    </row>
    <row r="14" spans="1:5" ht="16.2" thickBot="1" x14ac:dyDescent="0.35">
      <c r="A14" s="168"/>
      <c r="B14" s="168"/>
      <c r="C14" s="168"/>
      <c r="D14" s="168"/>
    </row>
    <row r="15" spans="1:5" x14ac:dyDescent="0.3">
      <c r="A15" s="164" t="s">
        <v>258</v>
      </c>
      <c r="B15" s="165"/>
      <c r="C15" s="165"/>
      <c r="D15" s="165"/>
      <c r="E15" s="166"/>
    </row>
    <row r="16" spans="1:5" x14ac:dyDescent="0.3">
      <c r="A16" s="170"/>
      <c r="B16" s="168"/>
      <c r="C16" s="168"/>
      <c r="D16" s="168"/>
      <c r="E16" s="169"/>
    </row>
    <row r="17" spans="1:5" x14ac:dyDescent="0.3">
      <c r="A17" s="175" t="s">
        <v>79</v>
      </c>
      <c r="B17" s="374">
        <v>0.6</v>
      </c>
      <c r="C17" s="145"/>
      <c r="D17" s="520">
        <f>E12*B17</f>
        <v>1357.2</v>
      </c>
      <c r="E17" s="182" t="s">
        <v>251</v>
      </c>
    </row>
    <row r="18" spans="1:5" x14ac:dyDescent="0.3">
      <c r="A18" s="177"/>
      <c r="B18" s="145"/>
      <c r="C18" s="145"/>
      <c r="D18" s="176"/>
      <c r="E18" s="169"/>
    </row>
    <row r="19" spans="1:5" ht="31.2" customHeight="1" x14ac:dyDescent="0.3">
      <c r="A19" s="178"/>
      <c r="B19" s="483" t="s">
        <v>315</v>
      </c>
      <c r="C19" s="483" t="s">
        <v>317</v>
      </c>
      <c r="D19" s="484" t="s">
        <v>318</v>
      </c>
      <c r="E19" s="182" t="s">
        <v>277</v>
      </c>
    </row>
    <row r="20" spans="1:5" x14ac:dyDescent="0.3">
      <c r="A20" s="178" t="s">
        <v>49</v>
      </c>
      <c r="B20" s="485">
        <v>18</v>
      </c>
      <c r="C20" s="487">
        <v>0.6</v>
      </c>
      <c r="D20" s="488">
        <f>D17*C20</f>
        <v>814.32</v>
      </c>
      <c r="E20" s="554">
        <f>(B20*C20)+(B21*C21)</f>
        <v>15.6</v>
      </c>
    </row>
    <row r="21" spans="1:5" ht="16.2" thickBot="1" x14ac:dyDescent="0.35">
      <c r="A21" s="179" t="s">
        <v>256</v>
      </c>
      <c r="B21" s="486">
        <v>12</v>
      </c>
      <c r="C21" s="489">
        <f>1-C20</f>
        <v>0.4</v>
      </c>
      <c r="D21" s="490">
        <f>D17*C21</f>
        <v>542.88</v>
      </c>
      <c r="E21" s="555"/>
    </row>
    <row r="22" spans="1:5" ht="16.2" thickBot="1" x14ac:dyDescent="0.35"/>
    <row r="23" spans="1:5" x14ac:dyDescent="0.3">
      <c r="A23" s="180" t="s">
        <v>259</v>
      </c>
      <c r="B23" s="221" t="s">
        <v>316</v>
      </c>
      <c r="C23" s="221"/>
      <c r="D23" s="221"/>
      <c r="E23" s="222"/>
    </row>
    <row r="24" spans="1:5" x14ac:dyDescent="0.3">
      <c r="A24" s="167" t="s">
        <v>260</v>
      </c>
      <c r="B24" s="181">
        <f>D24/52</f>
        <v>9.5619969230769222</v>
      </c>
      <c r="C24" s="154" t="s">
        <v>231</v>
      </c>
      <c r="D24" s="181">
        <f>'5) Ergebnis DB ausführlich'!C80</f>
        <v>497.22383999999994</v>
      </c>
      <c r="E24" s="182" t="s">
        <v>264</v>
      </c>
    </row>
    <row r="25" spans="1:5" x14ac:dyDescent="0.3">
      <c r="A25" s="177" t="s">
        <v>261</v>
      </c>
      <c r="B25" s="375">
        <v>0</v>
      </c>
      <c r="C25" s="145" t="s">
        <v>231</v>
      </c>
      <c r="D25" s="145">
        <f>B25*52</f>
        <v>0</v>
      </c>
      <c r="E25" s="169" t="s">
        <v>264</v>
      </c>
    </row>
    <row r="26" spans="1:5" x14ac:dyDescent="0.3">
      <c r="A26" s="177" t="s">
        <v>262</v>
      </c>
      <c r="B26" s="375">
        <v>0</v>
      </c>
      <c r="C26" s="145" t="s">
        <v>231</v>
      </c>
      <c r="D26" s="145">
        <f>B26*52</f>
        <v>0</v>
      </c>
      <c r="E26" s="169" t="s">
        <v>264</v>
      </c>
    </row>
    <row r="27" spans="1:5" ht="16.2" thickBot="1" x14ac:dyDescent="0.35">
      <c r="A27" s="183" t="s">
        <v>263</v>
      </c>
      <c r="B27" s="184">
        <f>B24-B25-B26</f>
        <v>9.5619969230769222</v>
      </c>
      <c r="C27" s="185" t="s">
        <v>231</v>
      </c>
      <c r="D27" s="184">
        <f>B27*52</f>
        <v>497.22383999999994</v>
      </c>
      <c r="E27" s="174" t="s">
        <v>264</v>
      </c>
    </row>
    <row r="28" spans="1:5" ht="16.2" thickBot="1" x14ac:dyDescent="0.35"/>
    <row r="29" spans="1:5" ht="30.6" customHeight="1" x14ac:dyDescent="0.3">
      <c r="A29" s="186" t="s">
        <v>278</v>
      </c>
      <c r="B29" s="187"/>
      <c r="C29" s="187"/>
      <c r="D29" s="498" t="s">
        <v>341</v>
      </c>
      <c r="E29" s="223" t="s">
        <v>244</v>
      </c>
    </row>
    <row r="30" spans="1:5" x14ac:dyDescent="0.3">
      <c r="A30" s="177" t="s">
        <v>125</v>
      </c>
      <c r="B30" s="375">
        <v>20</v>
      </c>
      <c r="C30" s="145" t="s">
        <v>121</v>
      </c>
      <c r="D30" s="371" t="b">
        <v>1</v>
      </c>
      <c r="E30" s="377" t="b">
        <v>0</v>
      </c>
    </row>
    <row r="31" spans="1:5" ht="16.2" thickBot="1" x14ac:dyDescent="0.35">
      <c r="A31" s="183" t="s">
        <v>124</v>
      </c>
      <c r="B31" s="376">
        <v>40</v>
      </c>
      <c r="C31" s="185" t="s">
        <v>121</v>
      </c>
      <c r="D31" s="378" t="b">
        <v>0</v>
      </c>
      <c r="E31" s="379" t="b">
        <v>0</v>
      </c>
    </row>
    <row r="33" spans="1:5" ht="15.6" customHeight="1" x14ac:dyDescent="0.3">
      <c r="A33" s="553" t="s">
        <v>303</v>
      </c>
      <c r="B33" s="553"/>
      <c r="C33" s="553"/>
      <c r="D33" s="553"/>
      <c r="E33" s="553"/>
    </row>
    <row r="34" spans="1:5" x14ac:dyDescent="0.3">
      <c r="A34" s="553"/>
      <c r="B34" s="553"/>
      <c r="C34" s="553"/>
      <c r="D34" s="553"/>
      <c r="E34" s="553"/>
    </row>
    <row r="42" spans="1:5" x14ac:dyDescent="0.3">
      <c r="A42" s="28" t="s">
        <v>345</v>
      </c>
    </row>
  </sheetData>
  <sheetProtection algorithmName="SHA-512" hashValue="CcJWOTIL2ybsrDVTbBnQ7tF2lJgOQu2TnEe/1HviYg6pq1Yr9g5ad94TJGV0slBnxzC9VeGWPlGfbXpuPaJ0VQ==" saltValue="GMYqVvHr1DDxWpAkRcNJ1Q==" spinCount="100000" sheet="1" selectLockedCells="1"/>
  <mergeCells count="7">
    <mergeCell ref="A33:E34"/>
    <mergeCell ref="E20:E21"/>
    <mergeCell ref="A7:A8"/>
    <mergeCell ref="B7:B8"/>
    <mergeCell ref="C7:C8"/>
    <mergeCell ref="D7:D8"/>
    <mergeCell ref="E7:E8"/>
  </mergeCells>
  <pageMargins left="0.70866141732283472" right="0.70866141732283472" top="0.78740157480314965" bottom="0.19685039370078741" header="0.31496062992125984" footer="0.31496062992125984"/>
  <pageSetup paperSize="9" scale="75" orientation="landscape" horizontalDpi="300" r:id="rId1"/>
  <ignoredErrors>
    <ignoredError sqref="A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754380</xdr:colOff>
                    <xdr:row>2</xdr:row>
                    <xdr:rowOff>190500</xdr:rowOff>
                  </from>
                  <to>
                    <xdr:col>0</xdr:col>
                    <xdr:colOff>1021080</xdr:colOff>
                    <xdr:row>4</xdr:row>
                    <xdr:rowOff>7620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670560</xdr:colOff>
                    <xdr:row>28</xdr:row>
                    <xdr:rowOff>335280</xdr:rowOff>
                  </from>
                  <to>
                    <xdr:col>3</xdr:col>
                    <xdr:colOff>937260</xdr:colOff>
                    <xdr:row>29</xdr:row>
                    <xdr:rowOff>175260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678180</xdr:colOff>
                    <xdr:row>29</xdr:row>
                    <xdr:rowOff>144780</xdr:rowOff>
                  </from>
                  <to>
                    <xdr:col>3</xdr:col>
                    <xdr:colOff>944880</xdr:colOff>
                    <xdr:row>30</xdr:row>
                    <xdr:rowOff>160020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937260</xdr:colOff>
                    <xdr:row>28</xdr:row>
                    <xdr:rowOff>342900</xdr:rowOff>
                  </from>
                  <to>
                    <xdr:col>4</xdr:col>
                    <xdr:colOff>1203960</xdr:colOff>
                    <xdr:row>29</xdr:row>
                    <xdr:rowOff>175260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937260</xdr:colOff>
                    <xdr:row>29</xdr:row>
                    <xdr:rowOff>144780</xdr:rowOff>
                  </from>
                  <to>
                    <xdr:col>4</xdr:col>
                    <xdr:colOff>1203960</xdr:colOff>
                    <xdr:row>30</xdr:row>
                    <xdr:rowOff>160020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4896F-3AAB-4C6A-8177-E5D846854F82}">
  <sheetPr>
    <pageSetUpPr fitToPage="1"/>
  </sheetPr>
  <dimension ref="A1:H36"/>
  <sheetViews>
    <sheetView showGridLines="0" zoomScale="90" zoomScaleNormal="90" workbookViewId="0">
      <selection activeCell="A37" sqref="A37"/>
    </sheetView>
  </sheetViews>
  <sheetFormatPr baseColWidth="10" defaultColWidth="11.5546875" defaultRowHeight="14.4" x14ac:dyDescent="0.3"/>
  <cols>
    <col min="1" max="1" width="3.44140625" style="5" customWidth="1"/>
    <col min="2" max="2" width="45.33203125" style="5" customWidth="1"/>
    <col min="3" max="3" width="19" style="5" customWidth="1"/>
    <col min="4" max="4" width="13.88671875" style="5" customWidth="1"/>
    <col min="5" max="5" width="16.5546875" style="5" customWidth="1"/>
    <col min="6" max="6" width="4.5546875" style="5" customWidth="1"/>
    <col min="7" max="7" width="9" style="5" bestFit="1" customWidth="1"/>
    <col min="8" max="8" width="12" style="5" customWidth="1"/>
    <col min="9" max="9" width="6.109375" style="5" customWidth="1"/>
    <col min="10" max="16384" width="11.5546875" style="5"/>
  </cols>
  <sheetData>
    <row r="1" spans="1:8" x14ac:dyDescent="0.3">
      <c r="B1" s="337" t="s">
        <v>337</v>
      </c>
      <c r="C1" s="338"/>
      <c r="D1" s="338"/>
      <c r="E1" s="338"/>
      <c r="F1" s="338"/>
      <c r="G1" s="338"/>
      <c r="H1" s="338"/>
    </row>
    <row r="2" spans="1:8" ht="14.4" customHeight="1" x14ac:dyDescent="0.3">
      <c r="B2" s="49"/>
    </row>
    <row r="3" spans="1:8" ht="15.6" x14ac:dyDescent="0.3">
      <c r="B3" s="140" t="s">
        <v>230</v>
      </c>
      <c r="C3" s="141"/>
      <c r="D3" s="142">
        <f>'5) Ergebnis DB ausführlich'!E27</f>
        <v>21172.32</v>
      </c>
      <c r="E3" s="140" t="s">
        <v>72</v>
      </c>
      <c r="F3" s="141"/>
      <c r="G3" s="143">
        <f>D3/'2) Angaben DB'!D17</f>
        <v>15.6</v>
      </c>
      <c r="H3" s="140" t="s">
        <v>268</v>
      </c>
    </row>
    <row r="4" spans="1:8" ht="15.6" x14ac:dyDescent="0.3">
      <c r="A4" s="139" t="s">
        <v>269</v>
      </c>
      <c r="B4" s="144" t="s">
        <v>276</v>
      </c>
      <c r="C4" s="145"/>
      <c r="D4" s="146">
        <f>'5) Ergebnis DB ausführlich'!E35+'5) Ergebnis DB ausführlich'!E56+'5) Ergebnis DB ausführlich'!E66+'5) Ergebnis DB ausführlich'!E85+'5) Ergebnis DB ausführlich'!E90</f>
        <v>7800.4075340000009</v>
      </c>
      <c r="E4" s="140" t="s">
        <v>72</v>
      </c>
      <c r="F4" s="145"/>
      <c r="G4" s="143">
        <f>D4/'2) Angaben DB'!D17</f>
        <v>5.747426712348954</v>
      </c>
      <c r="H4" s="140" t="s">
        <v>268</v>
      </c>
    </row>
    <row r="5" spans="1:8" ht="4.2" customHeight="1" x14ac:dyDescent="0.3">
      <c r="B5" s="145"/>
      <c r="C5" s="141"/>
      <c r="D5" s="140"/>
      <c r="E5" s="141"/>
      <c r="F5" s="141"/>
      <c r="G5" s="143"/>
      <c r="H5" s="142"/>
    </row>
    <row r="6" spans="1:8" ht="15.6" x14ac:dyDescent="0.3">
      <c r="A6" s="139" t="s">
        <v>74</v>
      </c>
      <c r="B6" s="147" t="s">
        <v>217</v>
      </c>
      <c r="C6" s="147"/>
      <c r="D6" s="148">
        <f>'5) Ergebnis DB ausführlich'!E94</f>
        <v>13371.912466</v>
      </c>
      <c r="E6" s="149" t="s">
        <v>72</v>
      </c>
      <c r="F6" s="145"/>
      <c r="G6" s="148">
        <f>G3-G4</f>
        <v>9.8525732876510457</v>
      </c>
      <c r="H6" s="147" t="s">
        <v>268</v>
      </c>
    </row>
    <row r="7" spans="1:8" ht="15.6" x14ac:dyDescent="0.3">
      <c r="B7" s="141"/>
      <c r="C7" s="141"/>
      <c r="D7" s="150"/>
      <c r="E7" s="145"/>
      <c r="F7" s="145"/>
      <c r="G7" s="144"/>
      <c r="H7" s="151"/>
    </row>
    <row r="8" spans="1:8" ht="15.6" x14ac:dyDescent="0.3">
      <c r="B8" s="152" t="s">
        <v>234</v>
      </c>
      <c r="C8" s="145"/>
      <c r="D8" s="153">
        <f>'5) Ergebnis DB ausführlich'!J107+'5) Ergebnis DB ausführlich'!J116+'5) Ergebnis DB ausführlich'!J117</f>
        <v>1822.5</v>
      </c>
      <c r="E8" s="140" t="s">
        <v>72</v>
      </c>
      <c r="F8" s="145"/>
      <c r="G8" s="153">
        <f>D8/'2) Angaben DB'!D17</f>
        <v>1.3428381962864722</v>
      </c>
      <c r="H8" s="140" t="s">
        <v>268</v>
      </c>
    </row>
    <row r="9" spans="1:8" ht="15.6" x14ac:dyDescent="0.3">
      <c r="B9" s="154" t="s">
        <v>91</v>
      </c>
      <c r="C9" s="145"/>
      <c r="D9" s="146">
        <f>'5) Ergebnis DB ausführlich'!J126</f>
        <v>0</v>
      </c>
      <c r="E9" s="140" t="s">
        <v>72</v>
      </c>
      <c r="F9" s="145"/>
      <c r="G9" s="146">
        <f>D9/'2) Angaben DB'!D17</f>
        <v>0</v>
      </c>
      <c r="H9" s="140" t="s">
        <v>268</v>
      </c>
    </row>
    <row r="10" spans="1:8" ht="15.6" x14ac:dyDescent="0.3">
      <c r="B10" s="154" t="s">
        <v>214</v>
      </c>
      <c r="C10" s="145"/>
      <c r="D10" s="146">
        <f>'5) Ergebnis DB ausführlich'!J138</f>
        <v>545.428</v>
      </c>
      <c r="E10" s="140" t="s">
        <v>72</v>
      </c>
      <c r="F10" s="145"/>
      <c r="G10" s="146">
        <f>D10/'2) Angaben DB'!D17</f>
        <v>0.40187739463601529</v>
      </c>
      <c r="H10" s="140" t="s">
        <v>268</v>
      </c>
    </row>
    <row r="11" spans="1:8" ht="6" customHeight="1" x14ac:dyDescent="0.3">
      <c r="B11" s="145"/>
      <c r="C11" s="145"/>
      <c r="D11" s="145"/>
      <c r="E11" s="145"/>
      <c r="F11" s="145"/>
      <c r="G11" s="154"/>
      <c r="H11" s="140"/>
    </row>
    <row r="12" spans="1:8" ht="15.6" x14ac:dyDescent="0.3">
      <c r="A12" s="139" t="s">
        <v>74</v>
      </c>
      <c r="B12" s="155" t="s">
        <v>96</v>
      </c>
      <c r="C12" s="156"/>
      <c r="D12" s="157">
        <f>D6-D8-D9-D10</f>
        <v>11003.984466</v>
      </c>
      <c r="E12" s="147" t="s">
        <v>72</v>
      </c>
      <c r="F12" s="145"/>
      <c r="G12" s="157">
        <f>G6-G8-G9-G10</f>
        <v>8.1078576967285585</v>
      </c>
      <c r="H12" s="147" t="s">
        <v>268</v>
      </c>
    </row>
    <row r="13" spans="1:8" ht="7.95" customHeight="1" x14ac:dyDescent="0.3">
      <c r="B13" s="145"/>
      <c r="C13" s="145"/>
      <c r="D13" s="145"/>
      <c r="E13" s="145"/>
      <c r="F13" s="146"/>
      <c r="G13" s="154"/>
      <c r="H13" s="154"/>
    </row>
    <row r="14" spans="1:8" ht="15.6" x14ac:dyDescent="0.3">
      <c r="B14" s="154" t="s">
        <v>225</v>
      </c>
      <c r="C14" s="145"/>
      <c r="D14" s="145"/>
      <c r="E14" s="145"/>
      <c r="F14" s="146"/>
      <c r="G14" s="154"/>
      <c r="H14" s="154"/>
    </row>
    <row r="15" spans="1:8" ht="15.6" x14ac:dyDescent="0.3">
      <c r="B15" s="154" t="s">
        <v>293</v>
      </c>
      <c r="C15" s="154"/>
      <c r="D15" s="158">
        <f>'5) Ergebnis DB ausführlich'!J150</f>
        <v>123.75</v>
      </c>
      <c r="E15" s="154" t="s">
        <v>99</v>
      </c>
      <c r="F15" s="145"/>
      <c r="G15" s="158">
        <f>D15/'2) Angaben DB'!D17</f>
        <v>9.1180371352785144E-2</v>
      </c>
      <c r="H15" s="140" t="s">
        <v>268</v>
      </c>
    </row>
    <row r="16" spans="1:8" ht="15.6" x14ac:dyDescent="0.3">
      <c r="B16" s="154" t="s">
        <v>102</v>
      </c>
      <c r="C16" s="154"/>
      <c r="D16" s="146">
        <f>'5) Ergebnis DB ausführlich'!J155</f>
        <v>11933.372159999999</v>
      </c>
      <c r="E16" s="154" t="s">
        <v>99</v>
      </c>
      <c r="F16" s="145"/>
      <c r="G16" s="146">
        <f>D16/'2) Angaben DB'!D17</f>
        <v>8.7926408488063643</v>
      </c>
      <c r="H16" s="140" t="s">
        <v>268</v>
      </c>
    </row>
    <row r="17" spans="2:8" ht="15.6" x14ac:dyDescent="0.3">
      <c r="B17" s="154" t="s">
        <v>103</v>
      </c>
      <c r="C17" s="154"/>
      <c r="D17" s="159">
        <v>0</v>
      </c>
      <c r="E17" s="154" t="s">
        <v>99</v>
      </c>
      <c r="F17" s="145"/>
      <c r="G17" s="146">
        <f>D17/'2) Angaben DB'!D17</f>
        <v>0</v>
      </c>
      <c r="H17" s="140" t="s">
        <v>268</v>
      </c>
    </row>
    <row r="18" spans="2:8" ht="7.95" customHeight="1" x14ac:dyDescent="0.3">
      <c r="B18" s="154"/>
      <c r="C18" s="154"/>
      <c r="D18" s="158"/>
      <c r="E18" s="154"/>
      <c r="F18" s="145"/>
      <c r="G18" s="154"/>
      <c r="H18" s="154"/>
    </row>
    <row r="19" spans="2:8" ht="15.6" x14ac:dyDescent="0.3">
      <c r="B19" s="155" t="s">
        <v>223</v>
      </c>
      <c r="C19" s="156"/>
      <c r="D19" s="157">
        <f>D12-D15-D16-D17</f>
        <v>-1053.1376939999991</v>
      </c>
      <c r="E19" s="155" t="s">
        <v>99</v>
      </c>
      <c r="F19" s="145"/>
      <c r="G19" s="157">
        <f>G12-G15-G16-G17</f>
        <v>-0.77596352343059039</v>
      </c>
      <c r="H19" s="147" t="s">
        <v>268</v>
      </c>
    </row>
    <row r="20" spans="2:8" ht="15.6" x14ac:dyDescent="0.3">
      <c r="B20" s="145" t="s">
        <v>104</v>
      </c>
      <c r="C20" s="145"/>
      <c r="D20" s="145"/>
      <c r="E20" s="145"/>
      <c r="F20" s="145"/>
      <c r="G20" s="154"/>
      <c r="H20" s="154"/>
    </row>
    <row r="21" spans="2:8" ht="7.2" customHeight="1" x14ac:dyDescent="0.3">
      <c r="B21" s="145"/>
      <c r="C21" s="145"/>
      <c r="D21" s="145"/>
      <c r="E21" s="145"/>
      <c r="F21" s="145"/>
      <c r="G21" s="154"/>
      <c r="H21" s="154"/>
    </row>
    <row r="22" spans="2:8" ht="15.6" x14ac:dyDescent="0.3">
      <c r="B22" s="155" t="s">
        <v>224</v>
      </c>
      <c r="C22" s="156"/>
      <c r="D22" s="160">
        <f>'5) Ergebnis DB ausführlich'!J163</f>
        <v>-2.1180353983027027</v>
      </c>
      <c r="E22" s="155" t="s">
        <v>106</v>
      </c>
      <c r="F22" s="145"/>
      <c r="G22" s="157">
        <f>D22/'2) Angaben DB'!D17</f>
        <v>-1.560591952772401E-3</v>
      </c>
      <c r="H22" s="147" t="s">
        <v>268</v>
      </c>
    </row>
    <row r="23" spans="2:8" ht="15.6" x14ac:dyDescent="0.3">
      <c r="B23" s="145" t="s">
        <v>105</v>
      </c>
      <c r="C23" s="145"/>
      <c r="D23" s="145"/>
      <c r="E23" s="145"/>
      <c r="F23" s="145"/>
      <c r="G23" s="154"/>
      <c r="H23" s="154"/>
    </row>
    <row r="24" spans="2:8" ht="15.6" x14ac:dyDescent="0.3">
      <c r="B24" s="145"/>
      <c r="C24" s="145"/>
      <c r="D24" s="145"/>
      <c r="E24" s="145"/>
      <c r="F24" s="145"/>
      <c r="G24" s="146"/>
      <c r="H24" s="154"/>
    </row>
    <row r="25" spans="2:8" ht="15.6" x14ac:dyDescent="0.3">
      <c r="B25" s="297" t="s">
        <v>219</v>
      </c>
      <c r="C25" s="298"/>
      <c r="D25" s="299"/>
      <c r="E25" s="300"/>
      <c r="F25" s="301"/>
      <c r="G25" s="297"/>
      <c r="H25" s="297"/>
    </row>
    <row r="26" spans="2:8" ht="15.6" x14ac:dyDescent="0.3">
      <c r="B26" s="302" t="s">
        <v>265</v>
      </c>
      <c r="C26" s="298"/>
      <c r="D26" s="299"/>
      <c r="E26" s="300"/>
      <c r="F26" s="301"/>
      <c r="G26" s="303">
        <f>G4</f>
        <v>5.747426712348954</v>
      </c>
      <c r="H26" s="298" t="s">
        <v>268</v>
      </c>
    </row>
    <row r="27" spans="2:8" ht="15.6" x14ac:dyDescent="0.3">
      <c r="B27" s="302" t="s">
        <v>266</v>
      </c>
      <c r="C27" s="304"/>
      <c r="D27" s="304"/>
      <c r="E27" s="304"/>
      <c r="F27" s="304"/>
      <c r="G27" s="303">
        <f>G4+G8+G9+G10</f>
        <v>7.4921423032714412</v>
      </c>
      <c r="H27" s="298" t="s">
        <v>268</v>
      </c>
    </row>
    <row r="28" spans="2:8" ht="15.6" x14ac:dyDescent="0.3">
      <c r="B28" s="302" t="s">
        <v>267</v>
      </c>
      <c r="C28" s="304"/>
      <c r="D28" s="304"/>
      <c r="E28" s="304"/>
      <c r="F28" s="304"/>
      <c r="G28" s="305">
        <f>G4+G8+G9+G15+G16+G17+G10</f>
        <v>16.375963523430592</v>
      </c>
      <c r="H28" s="298" t="s">
        <v>268</v>
      </c>
    </row>
    <row r="36" spans="1:1" x14ac:dyDescent="0.3">
      <c r="A36" s="28" t="s">
        <v>345</v>
      </c>
    </row>
  </sheetData>
  <sheetProtection algorithmName="SHA-512" hashValue="OSW1tZuY9cunGnHId1bPQOxGw3ktXsr0rEJ9i1AcX4qgXELFzFJu9oBE7M5UB2JL9nBn/lGHMEeD+bnd9g1ZIw==" saltValue="EowPcWyqQClUFQpcYL2ORw==" spinCount="100000" sheet="1" selectLockedCells="1"/>
  <pageMargins left="0.70866141732283472" right="0.70866141732283472" top="0.78740157480314965" bottom="0.78740157480314965" header="0.31496062992125984" footer="0.31496062992125984"/>
  <pageSetup paperSize="9" scale="94" orientation="landscape" horizont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9AB3C-3B98-49BA-92F1-BC61C689227D}">
  <sheetPr>
    <tabColor theme="4" tint="0.59999389629810485"/>
    <pageSetUpPr fitToPage="1"/>
  </sheetPr>
  <dimension ref="A1:M98"/>
  <sheetViews>
    <sheetView showGridLines="0" showZeros="0" zoomScale="80" zoomScaleNormal="80" workbookViewId="0">
      <selection activeCell="B18" sqref="B18"/>
    </sheetView>
  </sheetViews>
  <sheetFormatPr baseColWidth="10" defaultColWidth="11.5546875" defaultRowHeight="15.6" x14ac:dyDescent="0.3"/>
  <cols>
    <col min="1" max="1" width="11.5546875" style="163"/>
    <col min="2" max="2" width="45.33203125" style="163" customWidth="1"/>
    <col min="3" max="3" width="26.44140625" style="163" bestFit="1" customWidth="1"/>
    <col min="4" max="4" width="13.88671875" style="163" customWidth="1"/>
    <col min="5" max="5" width="15.33203125" style="163" customWidth="1"/>
    <col min="6" max="6" width="11.5546875" style="163" customWidth="1"/>
    <col min="7" max="7" width="42.88671875" style="163" customWidth="1"/>
    <col min="8" max="8" width="35.109375" style="163" customWidth="1"/>
    <col min="9" max="9" width="34.109375" style="163" customWidth="1"/>
    <col min="10" max="10" width="33.6640625" style="163" customWidth="1"/>
    <col min="11" max="11" width="17" style="163" customWidth="1"/>
    <col min="12" max="16384" width="11.5546875" style="163"/>
  </cols>
  <sheetData>
    <row r="1" spans="1:12" x14ac:dyDescent="0.3">
      <c r="A1" s="162"/>
      <c r="B1" s="162"/>
      <c r="C1" s="162"/>
      <c r="D1" s="162"/>
      <c r="E1" s="162"/>
      <c r="F1" s="162"/>
      <c r="G1" s="162"/>
      <c r="H1" s="162"/>
      <c r="I1" s="162"/>
      <c r="J1" s="162"/>
      <c r="K1" s="162"/>
      <c r="L1" s="162"/>
    </row>
    <row r="2" spans="1:12" x14ac:dyDescent="0.3">
      <c r="A2" s="162"/>
      <c r="B2" s="343"/>
      <c r="C2" s="162"/>
      <c r="D2" s="162"/>
      <c r="E2" s="162"/>
      <c r="F2" s="162"/>
      <c r="G2" s="162"/>
      <c r="H2" s="162"/>
      <c r="I2" s="162"/>
      <c r="J2" s="162"/>
      <c r="K2" s="162"/>
      <c r="L2" s="162"/>
    </row>
    <row r="3" spans="1:12" x14ac:dyDescent="0.3">
      <c r="A3" s="162"/>
      <c r="B3" s="344"/>
      <c r="C3" s="345"/>
      <c r="D3" s="346"/>
      <c r="E3" s="344"/>
      <c r="F3" s="347"/>
      <c r="G3" s="348"/>
      <c r="H3" s="345"/>
      <c r="I3" s="162"/>
      <c r="J3" s="162"/>
      <c r="K3" s="162"/>
      <c r="L3" s="162"/>
    </row>
    <row r="4" spans="1:12" x14ac:dyDescent="0.3">
      <c r="A4" s="162"/>
      <c r="B4" s="343"/>
      <c r="C4" s="345"/>
      <c r="D4" s="349"/>
      <c r="E4" s="344"/>
      <c r="F4" s="347"/>
      <c r="G4" s="348"/>
      <c r="H4" s="345"/>
      <c r="I4" s="162"/>
      <c r="J4" s="162"/>
      <c r="K4" s="162"/>
      <c r="L4" s="162"/>
    </row>
    <row r="5" spans="1:12" x14ac:dyDescent="0.3">
      <c r="A5" s="162"/>
      <c r="B5" s="344"/>
      <c r="C5" s="344"/>
      <c r="D5" s="350"/>
      <c r="E5" s="346"/>
      <c r="F5" s="347"/>
      <c r="G5" s="348"/>
      <c r="H5" s="351"/>
      <c r="I5" s="162"/>
      <c r="J5" s="162"/>
      <c r="K5" s="162"/>
      <c r="L5" s="162"/>
    </row>
    <row r="6" spans="1:12" x14ac:dyDescent="0.3">
      <c r="A6" s="162"/>
      <c r="B6" s="344"/>
      <c r="C6" s="345"/>
      <c r="D6" s="346"/>
      <c r="E6" s="344"/>
      <c r="F6" s="347"/>
      <c r="G6" s="348"/>
      <c r="H6" s="345"/>
      <c r="I6" s="162"/>
      <c r="J6" s="162"/>
      <c r="K6" s="162"/>
      <c r="L6" s="162"/>
    </row>
    <row r="7" spans="1:12" x14ac:dyDescent="0.3">
      <c r="A7" s="162"/>
      <c r="B7" s="344"/>
      <c r="C7" s="162"/>
      <c r="D7" s="352"/>
      <c r="E7" s="162"/>
      <c r="F7" s="347"/>
      <c r="G7" s="348"/>
      <c r="H7" s="162"/>
      <c r="I7" s="162"/>
      <c r="J7" s="162"/>
      <c r="K7" s="162"/>
      <c r="L7" s="162"/>
    </row>
    <row r="8" spans="1:12" ht="4.2" customHeight="1" x14ac:dyDescent="0.3">
      <c r="A8" s="162"/>
      <c r="B8" s="162"/>
      <c r="C8" s="345"/>
      <c r="D8" s="344"/>
      <c r="E8" s="345"/>
      <c r="F8" s="348"/>
      <c r="G8" s="348"/>
      <c r="H8" s="346"/>
      <c r="I8" s="162"/>
      <c r="J8" s="162"/>
      <c r="K8" s="162"/>
      <c r="L8" s="162"/>
    </row>
    <row r="9" spans="1:12" x14ac:dyDescent="0.3">
      <c r="A9" s="162"/>
      <c r="B9" s="344"/>
      <c r="C9" s="344"/>
      <c r="D9" s="350"/>
      <c r="E9" s="346"/>
      <c r="F9" s="347"/>
      <c r="G9" s="348"/>
      <c r="H9" s="351"/>
      <c r="I9" s="162"/>
      <c r="J9" s="162"/>
      <c r="K9" s="162"/>
      <c r="L9" s="162"/>
    </row>
    <row r="10" spans="1:12" x14ac:dyDescent="0.3">
      <c r="A10" s="162"/>
      <c r="B10" s="345"/>
      <c r="C10" s="345"/>
      <c r="D10" s="353"/>
      <c r="E10" s="162"/>
      <c r="F10" s="348"/>
      <c r="G10" s="348"/>
      <c r="H10" s="351"/>
      <c r="I10" s="162"/>
      <c r="J10" s="162"/>
      <c r="K10" s="162"/>
      <c r="L10" s="162"/>
    </row>
    <row r="11" spans="1:12" x14ac:dyDescent="0.3">
      <c r="A11" s="162"/>
      <c r="B11" s="354"/>
      <c r="C11" s="162"/>
      <c r="D11" s="355"/>
      <c r="E11" s="344"/>
      <c r="F11" s="347"/>
      <c r="G11" s="348"/>
      <c r="H11" s="355"/>
      <c r="I11" s="354"/>
      <c r="J11" s="162"/>
      <c r="K11" s="162"/>
      <c r="L11" s="162"/>
    </row>
    <row r="12" spans="1:12" x14ac:dyDescent="0.3">
      <c r="A12" s="162"/>
      <c r="B12" s="354"/>
      <c r="C12" s="162"/>
      <c r="D12" s="352"/>
      <c r="E12" s="344"/>
      <c r="F12" s="347"/>
      <c r="G12" s="348"/>
      <c r="H12" s="162"/>
      <c r="I12" s="162"/>
      <c r="J12" s="162"/>
      <c r="K12" s="162"/>
      <c r="L12" s="162"/>
    </row>
    <row r="13" spans="1:12" x14ac:dyDescent="0.3">
      <c r="A13" s="162"/>
      <c r="B13" s="354"/>
      <c r="C13" s="162"/>
      <c r="D13" s="352"/>
      <c r="E13" s="344"/>
      <c r="F13" s="347"/>
      <c r="G13" s="348"/>
      <c r="H13" s="162"/>
      <c r="I13" s="162"/>
      <c r="J13" s="162"/>
      <c r="K13" s="162"/>
      <c r="L13" s="162"/>
    </row>
    <row r="14" spans="1:12" x14ac:dyDescent="0.3">
      <c r="A14" s="162"/>
      <c r="B14" s="345"/>
      <c r="C14" s="345"/>
      <c r="D14" s="353"/>
      <c r="E14" s="162"/>
      <c r="F14" s="348"/>
      <c r="G14" s="348"/>
      <c r="H14" s="351"/>
      <c r="I14" s="162"/>
      <c r="J14" s="162"/>
      <c r="K14" s="162"/>
      <c r="L14" s="162"/>
    </row>
    <row r="15" spans="1:12" x14ac:dyDescent="0.3">
      <c r="A15" s="162"/>
      <c r="B15" s="354"/>
      <c r="C15" s="162"/>
      <c r="D15" s="352"/>
      <c r="E15" s="344"/>
      <c r="F15" s="347"/>
      <c r="G15" s="348"/>
      <c r="H15" s="162"/>
      <c r="I15" s="162"/>
      <c r="J15" s="162"/>
      <c r="K15" s="162"/>
      <c r="L15" s="162"/>
    </row>
    <row r="16" spans="1:12" ht="8.4" customHeight="1" x14ac:dyDescent="0.3">
      <c r="A16" s="162"/>
      <c r="B16" s="162"/>
      <c r="C16" s="162"/>
      <c r="D16" s="162"/>
      <c r="E16" s="162"/>
      <c r="F16" s="356"/>
      <c r="G16" s="348"/>
      <c r="H16" s="162"/>
      <c r="I16" s="354"/>
      <c r="J16" s="162"/>
      <c r="K16" s="162"/>
      <c r="L16" s="162"/>
    </row>
    <row r="17" spans="1:12" x14ac:dyDescent="0.3">
      <c r="A17" s="162"/>
      <c r="B17" s="357"/>
      <c r="C17" s="162"/>
      <c r="D17" s="162"/>
      <c r="E17" s="162"/>
      <c r="F17" s="348"/>
      <c r="G17" s="348"/>
      <c r="H17" s="162"/>
      <c r="I17" s="162"/>
      <c r="J17" s="162"/>
      <c r="K17" s="162"/>
      <c r="L17" s="162"/>
    </row>
    <row r="18" spans="1:12" x14ac:dyDescent="0.3">
      <c r="A18" s="162"/>
      <c r="B18" s="354"/>
      <c r="C18" s="354"/>
      <c r="D18" s="358"/>
      <c r="E18" s="354"/>
      <c r="F18" s="347"/>
      <c r="G18" s="348"/>
      <c r="H18" s="162"/>
      <c r="I18" s="162"/>
      <c r="J18" s="162"/>
      <c r="K18" s="162"/>
      <c r="L18" s="162"/>
    </row>
    <row r="19" spans="1:12" x14ac:dyDescent="0.3">
      <c r="A19" s="162"/>
      <c r="B19" s="354"/>
      <c r="C19" s="354"/>
      <c r="D19" s="356"/>
      <c r="E19" s="354"/>
      <c r="F19" s="347"/>
      <c r="G19" s="348"/>
      <c r="H19" s="162"/>
      <c r="I19" s="162"/>
      <c r="J19" s="162"/>
      <c r="K19" s="162"/>
      <c r="L19" s="162"/>
    </row>
    <row r="20" spans="1:12" x14ac:dyDescent="0.3">
      <c r="A20" s="162"/>
      <c r="B20" s="354"/>
      <c r="C20" s="354"/>
      <c r="D20" s="359"/>
      <c r="E20" s="354"/>
      <c r="F20" s="347"/>
      <c r="G20" s="348"/>
      <c r="H20" s="162"/>
      <c r="I20" s="162"/>
      <c r="J20" s="162"/>
      <c r="K20" s="162"/>
      <c r="L20" s="162"/>
    </row>
    <row r="21" spans="1:12" ht="7.95" customHeight="1" x14ac:dyDescent="0.3">
      <c r="A21" s="162"/>
      <c r="B21" s="354"/>
      <c r="C21" s="354"/>
      <c r="D21" s="358"/>
      <c r="E21" s="354"/>
      <c r="F21" s="348"/>
      <c r="G21" s="348"/>
      <c r="H21" s="162"/>
      <c r="I21" s="162"/>
      <c r="J21" s="162"/>
      <c r="K21" s="162"/>
      <c r="L21" s="162"/>
    </row>
    <row r="22" spans="1:12" x14ac:dyDescent="0.3">
      <c r="A22" s="162"/>
      <c r="B22" s="354"/>
      <c r="C22" s="162"/>
      <c r="D22" s="352"/>
      <c r="E22" s="354"/>
      <c r="F22" s="347"/>
      <c r="G22" s="348"/>
      <c r="H22" s="162"/>
      <c r="I22" s="162"/>
      <c r="J22" s="162"/>
      <c r="K22" s="162"/>
      <c r="L22" s="162"/>
    </row>
    <row r="23" spans="1:12" x14ac:dyDescent="0.3">
      <c r="A23" s="162"/>
      <c r="B23" s="162"/>
      <c r="C23" s="162"/>
      <c r="D23" s="162"/>
      <c r="E23" s="162"/>
      <c r="F23" s="162"/>
      <c r="G23" s="348"/>
      <c r="H23" s="162"/>
      <c r="I23" s="162"/>
      <c r="J23" s="162"/>
      <c r="K23" s="162"/>
      <c r="L23" s="162"/>
    </row>
    <row r="24" spans="1:12" ht="7.2" customHeight="1" x14ac:dyDescent="0.3">
      <c r="A24" s="162"/>
      <c r="B24" s="162"/>
      <c r="C24" s="162"/>
      <c r="D24" s="162"/>
      <c r="E24" s="162"/>
      <c r="F24" s="162"/>
      <c r="G24" s="348"/>
      <c r="H24" s="162"/>
      <c r="I24" s="162"/>
      <c r="J24" s="162"/>
      <c r="K24" s="162"/>
      <c r="L24" s="162"/>
    </row>
    <row r="25" spans="1:12" x14ac:dyDescent="0.3">
      <c r="A25" s="162"/>
      <c r="B25" s="354"/>
      <c r="C25" s="162"/>
      <c r="D25" s="359"/>
      <c r="E25" s="354"/>
      <c r="F25" s="360"/>
      <c r="G25" s="348"/>
      <c r="H25" s="162"/>
      <c r="I25" s="162"/>
      <c r="J25" s="162"/>
      <c r="K25" s="162"/>
      <c r="L25" s="162"/>
    </row>
    <row r="26" spans="1:12" x14ac:dyDescent="0.3">
      <c r="A26" s="162"/>
      <c r="B26" s="162"/>
      <c r="C26" s="162"/>
      <c r="D26" s="162"/>
      <c r="E26" s="162"/>
      <c r="F26" s="162"/>
      <c r="G26" s="348"/>
      <c r="H26" s="162"/>
      <c r="I26" s="162"/>
      <c r="J26" s="162"/>
      <c r="K26" s="162"/>
      <c r="L26" s="162"/>
    </row>
    <row r="27" spans="1:12" x14ac:dyDescent="0.3">
      <c r="A27" s="162"/>
      <c r="B27" s="162"/>
      <c r="C27" s="162"/>
      <c r="D27" s="162"/>
      <c r="E27" s="162"/>
      <c r="F27" s="162"/>
      <c r="G27" s="348"/>
      <c r="H27" s="162"/>
      <c r="I27" s="162"/>
      <c r="J27" s="162"/>
      <c r="K27" s="162"/>
      <c r="L27" s="162"/>
    </row>
    <row r="28" spans="1:12" x14ac:dyDescent="0.3">
      <c r="A28" s="162"/>
      <c r="B28" s="354"/>
      <c r="C28" s="344"/>
      <c r="D28" s="361"/>
      <c r="E28" s="162"/>
      <c r="F28" s="353"/>
      <c r="G28" s="348"/>
      <c r="H28" s="351"/>
      <c r="I28" s="162"/>
      <c r="J28" s="162"/>
      <c r="K28" s="162"/>
      <c r="L28" s="162"/>
    </row>
    <row r="29" spans="1:12" x14ac:dyDescent="0.3">
      <c r="A29" s="162"/>
      <c r="B29" s="354"/>
      <c r="C29" s="344"/>
      <c r="D29" s="359"/>
      <c r="E29" s="345"/>
      <c r="F29" s="353"/>
      <c r="G29" s="345"/>
      <c r="H29" s="351"/>
      <c r="I29" s="162"/>
      <c r="J29" s="162"/>
      <c r="K29" s="162"/>
      <c r="L29" s="162"/>
    </row>
    <row r="30" spans="1:12" x14ac:dyDescent="0.3">
      <c r="A30" s="162"/>
      <c r="B30" s="354"/>
      <c r="C30" s="162"/>
      <c r="D30" s="359"/>
      <c r="E30" s="345"/>
      <c r="F30" s="162"/>
      <c r="G30" s="162"/>
      <c r="H30" s="162"/>
      <c r="I30" s="162"/>
      <c r="J30" s="162"/>
      <c r="K30" s="162"/>
      <c r="L30" s="162"/>
    </row>
    <row r="31" spans="1:12" x14ac:dyDescent="0.3">
      <c r="A31" s="162"/>
      <c r="B31" s="354"/>
      <c r="C31" s="162"/>
      <c r="D31" s="359"/>
      <c r="E31" s="162"/>
      <c r="F31" s="162"/>
      <c r="G31" s="162"/>
      <c r="H31" s="162"/>
      <c r="I31" s="162"/>
      <c r="J31" s="162"/>
      <c r="K31" s="162"/>
      <c r="L31" s="162"/>
    </row>
    <row r="32" spans="1:12" x14ac:dyDescent="0.3">
      <c r="A32" s="162"/>
      <c r="B32" s="162"/>
      <c r="C32" s="162"/>
      <c r="D32" s="162"/>
      <c r="E32" s="162"/>
      <c r="F32" s="162"/>
      <c r="G32" s="162"/>
      <c r="H32" s="162"/>
      <c r="I32" s="162"/>
      <c r="J32" s="162"/>
      <c r="K32" s="162"/>
      <c r="L32" s="162"/>
    </row>
    <row r="33" spans="1:12" x14ac:dyDescent="0.3">
      <c r="A33" s="162"/>
      <c r="B33" s="162"/>
      <c r="C33" s="162"/>
      <c r="D33" s="162"/>
      <c r="E33" s="162"/>
      <c r="F33" s="162"/>
      <c r="G33" s="162"/>
      <c r="H33" s="162"/>
      <c r="I33" s="162"/>
      <c r="J33" s="162"/>
      <c r="K33" s="162"/>
      <c r="L33" s="162"/>
    </row>
    <row r="34" spans="1:12" x14ac:dyDescent="0.3">
      <c r="A34" s="162"/>
      <c r="B34" s="162"/>
      <c r="C34" s="162"/>
      <c r="D34" s="162"/>
      <c r="E34" s="162"/>
      <c r="F34" s="162"/>
      <c r="G34" s="162"/>
      <c r="H34" s="162"/>
      <c r="I34" s="162"/>
      <c r="J34" s="162"/>
      <c r="K34" s="162"/>
      <c r="L34" s="162"/>
    </row>
    <row r="35" spans="1:12" x14ac:dyDescent="0.3">
      <c r="A35" s="162"/>
      <c r="B35" s="162"/>
      <c r="C35" s="162"/>
      <c r="D35" s="162"/>
      <c r="E35" s="162"/>
      <c r="F35" s="162"/>
      <c r="G35" s="162"/>
      <c r="H35" s="162"/>
      <c r="I35" s="162"/>
      <c r="J35" s="162"/>
      <c r="K35" s="162"/>
      <c r="L35" s="162"/>
    </row>
    <row r="36" spans="1:12" x14ac:dyDescent="0.3">
      <c r="A36" s="162"/>
      <c r="B36" s="162"/>
      <c r="C36" s="162"/>
      <c r="D36" s="162"/>
      <c r="E36" s="162"/>
      <c r="F36" s="162"/>
      <c r="G36" s="162"/>
      <c r="H36" s="162"/>
      <c r="I36" s="162"/>
      <c r="J36" s="162"/>
      <c r="K36" s="162"/>
      <c r="L36" s="162"/>
    </row>
    <row r="37" spans="1:12" x14ac:dyDescent="0.3">
      <c r="A37" s="162"/>
      <c r="B37" s="162"/>
      <c r="C37" s="162"/>
      <c r="D37" s="162"/>
      <c r="E37" s="162"/>
      <c r="F37" s="162"/>
      <c r="G37" s="162"/>
      <c r="H37" s="162"/>
      <c r="I37" s="162"/>
      <c r="J37" s="162"/>
      <c r="K37" s="162"/>
      <c r="L37" s="162"/>
    </row>
    <row r="38" spans="1:12" x14ac:dyDescent="0.3">
      <c r="B38" s="162"/>
      <c r="C38" s="162"/>
      <c r="D38" s="162"/>
      <c r="E38" s="162"/>
      <c r="F38" s="162"/>
      <c r="G38" s="162"/>
      <c r="H38" s="162"/>
      <c r="I38" s="162"/>
      <c r="J38" s="162"/>
      <c r="K38" s="162"/>
      <c r="L38" s="162"/>
    </row>
    <row r="39" spans="1:12" x14ac:dyDescent="0.3">
      <c r="A39" s="162"/>
      <c r="B39" s="162"/>
      <c r="C39" s="162"/>
      <c r="D39" s="162"/>
      <c r="E39" s="162"/>
      <c r="F39" s="162"/>
      <c r="G39" s="162"/>
      <c r="H39" s="162"/>
      <c r="I39" s="162"/>
      <c r="J39" s="162"/>
      <c r="K39" s="162"/>
      <c r="L39" s="162"/>
    </row>
    <row r="40" spans="1:12" x14ac:dyDescent="0.3">
      <c r="A40" s="162"/>
      <c r="B40" s="162"/>
      <c r="C40" s="162"/>
      <c r="D40" s="162"/>
      <c r="E40" s="162"/>
      <c r="F40" s="162"/>
      <c r="G40" s="162"/>
      <c r="H40" s="162"/>
      <c r="I40" s="162"/>
      <c r="J40" s="162"/>
      <c r="K40" s="162"/>
      <c r="L40" s="162"/>
    </row>
    <row r="41" spans="1:12" x14ac:dyDescent="0.3">
      <c r="A41" s="162"/>
      <c r="B41" s="162"/>
      <c r="C41" s="162"/>
      <c r="D41" s="162"/>
      <c r="E41" s="162"/>
      <c r="F41" s="162"/>
      <c r="G41" s="162"/>
      <c r="H41" s="162"/>
      <c r="I41" s="162"/>
      <c r="J41" s="162"/>
      <c r="K41" s="162"/>
      <c r="L41" s="162"/>
    </row>
    <row r="42" spans="1:12" x14ac:dyDescent="0.3">
      <c r="A42" s="162"/>
      <c r="B42" s="162"/>
      <c r="C42" s="162"/>
      <c r="D42" s="162"/>
      <c r="E42" s="162"/>
      <c r="F42" s="162"/>
      <c r="G42" s="162"/>
      <c r="H42" s="162"/>
      <c r="I42" s="162"/>
      <c r="J42" s="162"/>
      <c r="K42" s="162"/>
      <c r="L42" s="162"/>
    </row>
    <row r="43" spans="1:12" x14ac:dyDescent="0.3">
      <c r="A43" s="162"/>
      <c r="B43" s="162"/>
      <c r="C43" s="162"/>
      <c r="D43" s="162"/>
      <c r="E43" s="162"/>
      <c r="F43" s="162"/>
      <c r="G43" s="162"/>
      <c r="H43" s="162"/>
      <c r="I43" s="162"/>
      <c r="J43" s="162"/>
      <c r="K43" s="162"/>
      <c r="L43" s="162"/>
    </row>
    <row r="44" spans="1:12" x14ac:dyDescent="0.3">
      <c r="A44" s="162"/>
      <c r="B44" s="162"/>
      <c r="C44" s="162"/>
      <c r="D44" s="162"/>
      <c r="E44" s="162"/>
      <c r="F44" s="162"/>
      <c r="G44" s="162"/>
      <c r="H44" s="162"/>
      <c r="I44" s="162"/>
      <c r="J44" s="162"/>
      <c r="K44" s="162"/>
      <c r="L44" s="162"/>
    </row>
    <row r="45" spans="1:12" x14ac:dyDescent="0.3">
      <c r="A45" s="162"/>
      <c r="B45" s="162"/>
      <c r="C45" s="162"/>
      <c r="D45" s="162"/>
      <c r="E45" s="162"/>
      <c r="F45" s="162"/>
      <c r="G45" s="162"/>
      <c r="H45" s="162"/>
      <c r="I45" s="162"/>
      <c r="J45" s="162"/>
      <c r="K45" s="162"/>
      <c r="L45" s="162"/>
    </row>
    <row r="46" spans="1:12" x14ac:dyDescent="0.3">
      <c r="A46" s="162"/>
      <c r="B46" s="162"/>
      <c r="C46" s="162"/>
      <c r="D46" s="162"/>
      <c r="E46" s="162"/>
      <c r="F46" s="162"/>
      <c r="G46" s="162"/>
      <c r="H46" s="162"/>
      <c r="I46" s="162"/>
      <c r="J46" s="162"/>
      <c r="K46" s="162"/>
      <c r="L46" s="162"/>
    </row>
    <row r="47" spans="1:12" x14ac:dyDescent="0.3">
      <c r="A47" s="162"/>
      <c r="B47" s="162"/>
      <c r="C47" s="162"/>
      <c r="D47" s="162"/>
      <c r="E47" s="162"/>
      <c r="F47" s="162"/>
      <c r="G47" s="162"/>
      <c r="H47" s="162"/>
      <c r="I47" s="162"/>
      <c r="J47" s="162"/>
      <c r="K47" s="162"/>
      <c r="L47" s="162"/>
    </row>
    <row r="48" spans="1:12" x14ac:dyDescent="0.3">
      <c r="A48" s="162"/>
      <c r="B48" s="162"/>
      <c r="C48" s="162"/>
      <c r="D48" s="162"/>
      <c r="E48" s="162"/>
      <c r="F48" s="162"/>
      <c r="G48" s="162"/>
      <c r="H48" s="162"/>
      <c r="I48" s="162"/>
      <c r="J48" s="162"/>
      <c r="K48" s="162"/>
      <c r="L48" s="162"/>
    </row>
    <row r="49" spans="1:12" x14ac:dyDescent="0.3">
      <c r="A49" s="162"/>
      <c r="B49" s="162"/>
      <c r="C49" s="162"/>
      <c r="D49" s="162"/>
      <c r="E49" s="162"/>
      <c r="F49" s="162"/>
      <c r="G49" s="162"/>
      <c r="H49" s="162"/>
      <c r="I49" s="162"/>
      <c r="J49" s="162"/>
      <c r="K49" s="162"/>
      <c r="L49" s="162"/>
    </row>
    <row r="50" spans="1:12" x14ac:dyDescent="0.3">
      <c r="A50" s="162"/>
      <c r="B50" s="162"/>
      <c r="C50" s="162"/>
      <c r="D50" s="162"/>
      <c r="E50" s="162"/>
      <c r="F50" s="162"/>
      <c r="G50" s="162"/>
      <c r="H50" s="162"/>
      <c r="I50" s="162"/>
      <c r="J50" s="162"/>
      <c r="K50" s="162"/>
      <c r="L50" s="162"/>
    </row>
    <row r="51" spans="1:12" x14ac:dyDescent="0.3">
      <c r="A51" s="162"/>
      <c r="B51" s="162"/>
      <c r="C51" s="162"/>
      <c r="D51" s="162"/>
      <c r="E51" s="162"/>
      <c r="F51" s="162"/>
      <c r="G51" s="162"/>
      <c r="H51" s="162"/>
      <c r="I51" s="162"/>
      <c r="J51" s="162"/>
      <c r="K51" s="162"/>
      <c r="L51" s="162"/>
    </row>
    <row r="52" spans="1:12" x14ac:dyDescent="0.3">
      <c r="A52" s="162"/>
      <c r="B52" s="162"/>
      <c r="C52" s="162"/>
      <c r="D52" s="162"/>
      <c r="E52" s="162"/>
      <c r="F52" s="162"/>
      <c r="G52" s="162"/>
      <c r="H52" s="162"/>
      <c r="I52" s="162"/>
      <c r="J52" s="162"/>
      <c r="K52" s="162"/>
      <c r="L52" s="162"/>
    </row>
    <row r="53" spans="1:12" x14ac:dyDescent="0.3">
      <c r="A53" s="162"/>
      <c r="B53" s="162"/>
      <c r="C53" s="162"/>
      <c r="D53" s="162"/>
      <c r="E53" s="162"/>
      <c r="F53" s="162"/>
      <c r="G53" s="162"/>
      <c r="H53" s="162"/>
      <c r="I53" s="162"/>
      <c r="J53" s="162"/>
      <c r="K53" s="162"/>
      <c r="L53" s="162"/>
    </row>
    <row r="54" spans="1:12" x14ac:dyDescent="0.3">
      <c r="A54" s="162"/>
      <c r="B54" s="162"/>
      <c r="C54" s="162"/>
      <c r="D54" s="162"/>
      <c r="E54" s="162"/>
      <c r="F54" s="162"/>
      <c r="G54" s="162"/>
      <c r="H54" s="162"/>
      <c r="I54" s="162"/>
      <c r="J54" s="162"/>
      <c r="K54" s="162"/>
      <c r="L54" s="162"/>
    </row>
    <row r="55" spans="1:12" x14ac:dyDescent="0.3">
      <c r="A55" s="162"/>
      <c r="B55" s="162"/>
      <c r="C55" s="162"/>
      <c r="D55" s="162"/>
      <c r="E55" s="162"/>
      <c r="F55" s="162"/>
      <c r="G55" s="162"/>
      <c r="H55" s="162"/>
      <c r="I55" s="162"/>
      <c r="J55" s="162"/>
      <c r="K55" s="162"/>
      <c r="L55" s="162"/>
    </row>
    <row r="56" spans="1:12" x14ac:dyDescent="0.3">
      <c r="A56" s="162"/>
      <c r="B56" s="162"/>
      <c r="C56" s="162"/>
      <c r="D56" s="162"/>
      <c r="E56" s="162"/>
      <c r="F56" s="162"/>
      <c r="G56" s="162"/>
      <c r="H56" s="162"/>
      <c r="I56" s="162"/>
      <c r="J56" s="162"/>
      <c r="K56" s="162"/>
      <c r="L56" s="162"/>
    </row>
    <row r="57" spans="1:12" x14ac:dyDescent="0.3">
      <c r="A57" s="162"/>
      <c r="B57" s="162"/>
      <c r="C57" s="162"/>
      <c r="D57" s="162"/>
      <c r="E57" s="162"/>
      <c r="F57" s="162"/>
      <c r="G57" s="162"/>
      <c r="H57" s="162"/>
      <c r="I57" s="162"/>
      <c r="J57" s="162"/>
      <c r="K57" s="162"/>
      <c r="L57" s="162"/>
    </row>
    <row r="58" spans="1:12" x14ac:dyDescent="0.3">
      <c r="A58" s="162"/>
      <c r="B58" s="162"/>
      <c r="C58" s="162"/>
      <c r="D58" s="162"/>
      <c r="E58" s="162"/>
      <c r="F58" s="162"/>
      <c r="G58" s="162"/>
      <c r="H58" s="162"/>
      <c r="I58" s="162"/>
      <c r="J58" s="162"/>
      <c r="K58" s="162"/>
      <c r="L58" s="162"/>
    </row>
    <row r="59" spans="1:12" x14ac:dyDescent="0.3">
      <c r="A59" s="162"/>
      <c r="B59" s="162"/>
      <c r="C59" s="162"/>
      <c r="D59" s="162"/>
      <c r="E59" s="162"/>
      <c r="F59" s="162"/>
      <c r="G59" s="162"/>
      <c r="H59" s="162"/>
      <c r="I59" s="162"/>
      <c r="J59" s="162"/>
      <c r="K59" s="162"/>
      <c r="L59" s="162"/>
    </row>
    <row r="65" spans="1:13" x14ac:dyDescent="0.3">
      <c r="A65" s="100" t="s">
        <v>338</v>
      </c>
    </row>
    <row r="73" spans="1:13" x14ac:dyDescent="0.3">
      <c r="C73" s="362"/>
      <c r="D73" s="362"/>
      <c r="E73" s="362"/>
    </row>
    <row r="77" spans="1:13" x14ac:dyDescent="0.3">
      <c r="J77" s="189"/>
    </row>
    <row r="78" spans="1:13" x14ac:dyDescent="0.3">
      <c r="K78" s="363"/>
      <c r="L78" s="363"/>
      <c r="M78" s="363"/>
    </row>
    <row r="79" spans="1:13" x14ac:dyDescent="0.3">
      <c r="K79" s="363"/>
      <c r="L79" s="363"/>
      <c r="M79" s="363"/>
    </row>
    <row r="80" spans="1:13" x14ac:dyDescent="0.3">
      <c r="K80" s="363"/>
      <c r="L80" s="363"/>
      <c r="M80" s="363"/>
    </row>
    <row r="81" spans="3:13" x14ac:dyDescent="0.3">
      <c r="K81" s="363"/>
      <c r="L81" s="363"/>
      <c r="M81" s="363"/>
    </row>
    <row r="82" spans="3:13" x14ac:dyDescent="0.3">
      <c r="K82" s="363"/>
      <c r="L82" s="363"/>
      <c r="M82" s="363"/>
    </row>
    <row r="83" spans="3:13" x14ac:dyDescent="0.3">
      <c r="K83" s="363"/>
      <c r="L83" s="363"/>
      <c r="M83" s="363"/>
    </row>
    <row r="84" spans="3:13" x14ac:dyDescent="0.3">
      <c r="K84" s="363"/>
      <c r="L84" s="363"/>
      <c r="M84" s="363"/>
    </row>
    <row r="85" spans="3:13" x14ac:dyDescent="0.3">
      <c r="K85" s="363"/>
      <c r="L85" s="363"/>
      <c r="M85" s="363"/>
    </row>
    <row r="86" spans="3:13" x14ac:dyDescent="0.3">
      <c r="K86" s="363"/>
      <c r="L86" s="363"/>
      <c r="M86" s="363"/>
    </row>
    <row r="87" spans="3:13" x14ac:dyDescent="0.3">
      <c r="C87" s="363"/>
      <c r="K87" s="363"/>
      <c r="L87" s="363"/>
      <c r="M87" s="363"/>
    </row>
    <row r="88" spans="3:13" x14ac:dyDescent="0.3">
      <c r="K88" s="363"/>
      <c r="L88" s="363"/>
      <c r="M88" s="362"/>
    </row>
    <row r="93" spans="3:13" x14ac:dyDescent="0.3">
      <c r="C93" s="362"/>
    </row>
    <row r="94" spans="3:13" x14ac:dyDescent="0.3">
      <c r="C94" s="362"/>
    </row>
    <row r="95" spans="3:13" x14ac:dyDescent="0.3">
      <c r="C95" s="362"/>
    </row>
    <row r="96" spans="3:13" x14ac:dyDescent="0.3">
      <c r="C96" s="362"/>
    </row>
    <row r="97" spans="3:3" x14ac:dyDescent="0.3">
      <c r="C97" s="362"/>
    </row>
    <row r="98" spans="3:3" x14ac:dyDescent="0.3">
      <c r="C98" s="362"/>
    </row>
  </sheetData>
  <sheetProtection selectLockedCells="1"/>
  <pageMargins left="0.70866141732283472" right="0.70866141732283472" top="0.78740157480314965" bottom="0.78740157480314965" header="0.31496062992125984" footer="0.31496062992125984"/>
  <pageSetup paperSize="9" scale="7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pageSetUpPr fitToPage="1"/>
  </sheetPr>
  <dimension ref="A1:O192"/>
  <sheetViews>
    <sheetView showGridLines="0" tabSelected="1" topLeftCell="A60" zoomScale="90" zoomScaleNormal="90" workbookViewId="0">
      <selection activeCell="G105" sqref="G105"/>
    </sheetView>
  </sheetViews>
  <sheetFormatPr baseColWidth="10" defaultColWidth="11.5546875" defaultRowHeight="14.4" x14ac:dyDescent="0.3"/>
  <cols>
    <col min="1" max="1" width="2.6640625" style="83" customWidth="1"/>
    <col min="2" max="2" width="39.33203125" style="83" customWidth="1"/>
    <col min="3" max="3" width="15.33203125" style="83" customWidth="1"/>
    <col min="4" max="4" width="18.6640625" style="83" customWidth="1"/>
    <col min="5" max="5" width="13.44140625" style="83" customWidth="1"/>
    <col min="6" max="6" width="15.88671875" style="83" customWidth="1"/>
    <col min="7" max="7" width="13.6640625" style="83" customWidth="1"/>
    <col min="8" max="8" width="11.88671875" style="83" customWidth="1"/>
    <col min="9" max="9" width="10.88671875" style="83" customWidth="1"/>
    <col min="10" max="10" width="17.109375" style="83" customWidth="1"/>
    <col min="11" max="11" width="15.6640625" style="83" customWidth="1"/>
    <col min="12" max="12" width="2.109375" style="83" customWidth="1"/>
    <col min="13" max="13" width="8.6640625" style="83" customWidth="1"/>
    <col min="14" max="16384" width="11.5546875" style="83"/>
  </cols>
  <sheetData>
    <row r="1" spans="2:9" ht="6" customHeight="1" x14ac:dyDescent="0.3"/>
    <row r="2" spans="2:9" ht="7.2" customHeight="1" thickBot="1" x14ac:dyDescent="0.35"/>
    <row r="3" spans="2:9" x14ac:dyDescent="0.3">
      <c r="B3" s="41" t="s">
        <v>109</v>
      </c>
      <c r="C3" s="42"/>
      <c r="D3" s="42"/>
      <c r="E3" s="42"/>
      <c r="F3" s="43"/>
      <c r="G3" s="29"/>
      <c r="H3" s="29"/>
      <c r="I3" s="29"/>
    </row>
    <row r="4" spans="2:9" x14ac:dyDescent="0.3">
      <c r="B4" s="50"/>
      <c r="C4" s="45"/>
      <c r="D4" s="45"/>
      <c r="E4" s="45"/>
      <c r="F4" s="46"/>
      <c r="G4" s="29"/>
      <c r="H4" s="29"/>
      <c r="I4" s="29"/>
    </row>
    <row r="5" spans="2:9" x14ac:dyDescent="0.3">
      <c r="B5" s="263" t="str">
        <f>'1) Wareneinsatz'!A2</f>
        <v>Eingabefelder</v>
      </c>
      <c r="C5" s="45"/>
      <c r="D5" s="45"/>
      <c r="E5" s="45"/>
      <c r="F5" s="46"/>
      <c r="G5" s="29"/>
      <c r="H5" s="29"/>
      <c r="I5" s="29"/>
    </row>
    <row r="6" spans="2:9" x14ac:dyDescent="0.3">
      <c r="B6" s="50"/>
      <c r="C6" s="45"/>
      <c r="D6" s="45"/>
      <c r="E6" s="45"/>
      <c r="F6" s="46"/>
      <c r="G6" s="29"/>
      <c r="H6" s="29"/>
      <c r="I6" s="29"/>
    </row>
    <row r="7" spans="2:9" x14ac:dyDescent="0.3">
      <c r="B7" s="263" t="str">
        <f>'1) Wareneinsatz'!A4</f>
        <v>Bruttorechner</v>
      </c>
      <c r="C7" s="45"/>
      <c r="D7" s="45"/>
      <c r="E7" s="45"/>
      <c r="F7" s="46"/>
      <c r="G7" s="29"/>
      <c r="H7" s="29"/>
      <c r="I7" s="29"/>
    </row>
    <row r="8" spans="2:9" x14ac:dyDescent="0.3">
      <c r="B8" s="380" t="b">
        <f>'1) Wareneinsatz'!A5</f>
        <v>1</v>
      </c>
      <c r="C8" s="45"/>
      <c r="D8" s="45"/>
      <c r="E8" s="45"/>
      <c r="F8" s="46"/>
      <c r="G8" s="29"/>
      <c r="H8" s="29"/>
      <c r="I8" s="29"/>
    </row>
    <row r="9" spans="2:9" ht="14.4" customHeight="1" x14ac:dyDescent="0.3">
      <c r="B9" s="565" t="s">
        <v>64</v>
      </c>
      <c r="C9" s="566" t="s">
        <v>65</v>
      </c>
      <c r="D9" s="562" t="s">
        <v>66</v>
      </c>
      <c r="E9" s="562" t="s">
        <v>67</v>
      </c>
      <c r="F9" s="564" t="s">
        <v>68</v>
      </c>
      <c r="G9" s="563"/>
      <c r="H9" s="563"/>
      <c r="I9" s="61"/>
    </row>
    <row r="10" spans="2:9" x14ac:dyDescent="0.3">
      <c r="B10" s="565"/>
      <c r="C10" s="566"/>
      <c r="D10" s="562"/>
      <c r="E10" s="562"/>
      <c r="F10" s="564"/>
      <c r="G10" s="563"/>
      <c r="H10" s="563"/>
      <c r="I10" s="61"/>
    </row>
    <row r="11" spans="2:9" x14ac:dyDescent="0.3">
      <c r="B11" s="565"/>
      <c r="C11" s="566"/>
      <c r="D11" s="562"/>
      <c r="E11" s="78" t="s">
        <v>69</v>
      </c>
      <c r="F11" s="564"/>
      <c r="G11" s="30"/>
      <c r="H11" s="29"/>
      <c r="I11" s="61"/>
    </row>
    <row r="12" spans="2:9" x14ac:dyDescent="0.3">
      <c r="B12" s="44" t="s">
        <v>77</v>
      </c>
      <c r="C12" s="78">
        <f>'2) Angaben DB'!B9</f>
        <v>1</v>
      </c>
      <c r="D12" s="78">
        <f>'2) Angaben DB'!C9</f>
        <v>174</v>
      </c>
      <c r="E12" s="78">
        <f>'2) Angaben DB'!D9</f>
        <v>2</v>
      </c>
      <c r="F12" s="264">
        <f>E12*D12*C12</f>
        <v>348</v>
      </c>
      <c r="G12" s="31"/>
      <c r="H12" s="31"/>
      <c r="I12" s="61"/>
    </row>
    <row r="13" spans="2:9" x14ac:dyDescent="0.3">
      <c r="B13" s="44" t="s">
        <v>76</v>
      </c>
      <c r="C13" s="78">
        <f>'2) Angaben DB'!B10</f>
        <v>2</v>
      </c>
      <c r="D13" s="78">
        <f>'2) Angaben DB'!C10</f>
        <v>174</v>
      </c>
      <c r="E13" s="78">
        <f>'2) Angaben DB'!D10</f>
        <v>3</v>
      </c>
      <c r="F13" s="264">
        <f>E13*D13*C13</f>
        <v>1044</v>
      </c>
      <c r="G13" s="31"/>
      <c r="H13" s="31"/>
      <c r="I13" s="61"/>
    </row>
    <row r="14" spans="2:9" x14ac:dyDescent="0.3">
      <c r="B14" s="79" t="s">
        <v>78</v>
      </c>
      <c r="C14" s="265">
        <f>'2) Angaben DB'!B11</f>
        <v>1</v>
      </c>
      <c r="D14" s="265">
        <f>'2) Angaben DB'!C11</f>
        <v>174</v>
      </c>
      <c r="E14" s="265">
        <f>'2) Angaben DB'!D11</f>
        <v>5</v>
      </c>
      <c r="F14" s="266">
        <f>E14*D14*C14</f>
        <v>870</v>
      </c>
      <c r="G14" s="31"/>
      <c r="H14" s="31"/>
      <c r="I14" s="61"/>
    </row>
    <row r="15" spans="2:9" x14ac:dyDescent="0.3">
      <c r="B15" s="50" t="s">
        <v>70</v>
      </c>
      <c r="C15" s="267">
        <f>SUM(C12:C14)</f>
        <v>4</v>
      </c>
      <c r="D15" s="45"/>
      <c r="E15" s="45"/>
      <c r="F15" s="268">
        <f>SUM(F12:F14)</f>
        <v>2262</v>
      </c>
      <c r="G15" s="29"/>
    </row>
    <row r="16" spans="2:9" ht="15" thickBot="1" x14ac:dyDescent="0.35">
      <c r="B16" s="269" t="s">
        <v>254</v>
      </c>
      <c r="C16" s="270"/>
      <c r="D16" s="272">
        <f>((C12*D12)+(C13*D13)+(C14*D14))/C15</f>
        <v>174</v>
      </c>
      <c r="E16" s="272">
        <f>(E12+E13+E13+E14)/C15</f>
        <v>3.25</v>
      </c>
      <c r="F16" s="271"/>
      <c r="G16" s="29"/>
      <c r="H16" s="29"/>
      <c r="I16" s="61"/>
    </row>
    <row r="17" spans="2:10" ht="15" thickBot="1" x14ac:dyDescent="0.35">
      <c r="B17" s="29"/>
      <c r="C17" s="29"/>
      <c r="D17" s="29"/>
      <c r="E17" s="29"/>
      <c r="F17" s="29"/>
      <c r="G17" s="29"/>
      <c r="H17" s="29"/>
      <c r="I17" s="61"/>
    </row>
    <row r="18" spans="2:10" ht="15.6" thickTop="1" thickBot="1" x14ac:dyDescent="0.35">
      <c r="B18" s="420" t="s">
        <v>81</v>
      </c>
      <c r="C18" s="421"/>
      <c r="D18" s="421"/>
      <c r="E18" s="421"/>
      <c r="F18" s="422"/>
    </row>
    <row r="19" spans="2:10" x14ac:dyDescent="0.3">
      <c r="B19" s="464" t="s">
        <v>229</v>
      </c>
      <c r="C19" s="24"/>
      <c r="D19" s="24"/>
      <c r="E19" s="24"/>
      <c r="F19" s="424"/>
      <c r="G19" s="37"/>
      <c r="H19" s="37"/>
      <c r="I19" s="37"/>
    </row>
    <row r="20" spans="2:10" x14ac:dyDescent="0.3">
      <c r="B20" s="435"/>
      <c r="C20" s="60"/>
      <c r="D20" s="60"/>
      <c r="E20" s="60"/>
      <c r="F20" s="432"/>
      <c r="G20" s="60"/>
      <c r="H20" s="37"/>
      <c r="I20" s="37"/>
    </row>
    <row r="21" spans="2:10" x14ac:dyDescent="0.3">
      <c r="B21" s="465" t="s">
        <v>79</v>
      </c>
      <c r="C21" s="273">
        <f>'2) Angaben DB'!B17</f>
        <v>0.6</v>
      </c>
      <c r="D21" s="274">
        <f>F15*C21</f>
        <v>1357.2</v>
      </c>
      <c r="E21" s="70" t="s">
        <v>271</v>
      </c>
      <c r="F21" s="432"/>
      <c r="G21" s="60"/>
      <c r="H21" s="37"/>
      <c r="I21" s="37"/>
    </row>
    <row r="22" spans="2:10" x14ac:dyDescent="0.3">
      <c r="B22" s="435"/>
      <c r="C22" s="61"/>
      <c r="D22" s="61"/>
      <c r="E22" s="38"/>
      <c r="F22" s="432"/>
      <c r="G22" s="60"/>
      <c r="H22" s="60"/>
      <c r="I22" s="60"/>
    </row>
    <row r="23" spans="2:10" ht="28.2" customHeight="1" x14ac:dyDescent="0.3">
      <c r="B23" s="425"/>
      <c r="C23" s="116" t="s">
        <v>218</v>
      </c>
      <c r="D23" s="116" t="s">
        <v>80</v>
      </c>
      <c r="E23" s="419" t="s">
        <v>286</v>
      </c>
      <c r="F23" s="466" t="s">
        <v>277</v>
      </c>
      <c r="G23" s="48"/>
      <c r="H23" s="37"/>
      <c r="I23" s="37"/>
    </row>
    <row r="24" spans="2:10" x14ac:dyDescent="0.3">
      <c r="B24" s="425" t="s">
        <v>49</v>
      </c>
      <c r="C24" s="275">
        <f>IF(B8, '2) Angaben DB'!B20, ('2) Angaben DB'!B20/1.19))</f>
        <v>18</v>
      </c>
      <c r="D24" s="276">
        <f>'2) Angaben DB'!C20</f>
        <v>0.6</v>
      </c>
      <c r="E24" s="277">
        <f>D21*D24</f>
        <v>814.32</v>
      </c>
      <c r="F24" s="561">
        <f>C24*D24+C25*D25</f>
        <v>15.6</v>
      </c>
      <c r="G24" s="48"/>
      <c r="H24" s="37"/>
      <c r="I24" s="37"/>
    </row>
    <row r="25" spans="2:10" x14ac:dyDescent="0.3">
      <c r="B25" s="425" t="s">
        <v>50</v>
      </c>
      <c r="C25" s="275">
        <f>IF(B8, '2) Angaben DB'!B21, ('2) Angaben DB'!B21/1.19))</f>
        <v>12</v>
      </c>
      <c r="D25" s="276">
        <f>1-D24</f>
        <v>0.4</v>
      </c>
      <c r="E25" s="277">
        <f>D21*D25</f>
        <v>542.88</v>
      </c>
      <c r="F25" s="561"/>
      <c r="G25" s="48"/>
      <c r="H25" s="37"/>
      <c r="I25" s="37"/>
    </row>
    <row r="26" spans="2:10" ht="15" thickBot="1" x14ac:dyDescent="0.35">
      <c r="B26" s="425"/>
      <c r="C26" s="37"/>
      <c r="D26" s="37"/>
      <c r="E26" s="39"/>
      <c r="F26" s="427"/>
      <c r="G26" s="27"/>
      <c r="H26" s="37"/>
      <c r="I26" s="37"/>
    </row>
    <row r="27" spans="2:10" ht="15.6" thickTop="1" thickBot="1" x14ac:dyDescent="0.35">
      <c r="B27" s="467" t="s">
        <v>71</v>
      </c>
      <c r="C27" s="455"/>
      <c r="D27" s="456"/>
      <c r="E27" s="468">
        <f>IF(B8, (F15*C21*((C24*D24)+(C25*D25))), ((F15*C21*((C24*D24)+(C25*D25)))/1.19))</f>
        <v>21172.32</v>
      </c>
      <c r="F27" s="469" t="s">
        <v>72</v>
      </c>
      <c r="H27" s="472">
        <f>E27/'2) Angaben DB'!D17</f>
        <v>15.6</v>
      </c>
      <c r="I27" s="460" t="s">
        <v>268</v>
      </c>
    </row>
    <row r="28" spans="2:10" ht="15.6" thickTop="1" thickBot="1" x14ac:dyDescent="0.35">
      <c r="B28" s="37"/>
      <c r="C28" s="37"/>
      <c r="D28" s="60"/>
      <c r="E28" s="40"/>
      <c r="F28" s="37"/>
      <c r="H28" s="60"/>
      <c r="I28" s="37"/>
    </row>
    <row r="29" spans="2:10" ht="15.6" thickTop="1" thickBot="1" x14ac:dyDescent="0.35">
      <c r="B29" s="420" t="s">
        <v>82</v>
      </c>
      <c r="C29" s="421"/>
      <c r="D29" s="421"/>
      <c r="E29" s="421"/>
      <c r="F29" s="422"/>
    </row>
    <row r="30" spans="2:10" x14ac:dyDescent="0.3">
      <c r="B30" s="423" t="s">
        <v>83</v>
      </c>
      <c r="C30" s="24"/>
      <c r="D30" s="24"/>
      <c r="E30" s="24"/>
      <c r="F30" s="424"/>
      <c r="G30" s="37"/>
      <c r="H30" s="37"/>
      <c r="I30" s="54"/>
      <c r="J30" s="60"/>
    </row>
    <row r="31" spans="2:10" ht="28.95" customHeight="1" x14ac:dyDescent="0.3">
      <c r="B31" s="425"/>
      <c r="C31" s="117" t="s">
        <v>288</v>
      </c>
      <c r="D31" s="117" t="s">
        <v>306</v>
      </c>
      <c r="E31" s="47"/>
      <c r="F31" s="426"/>
      <c r="G31" s="30"/>
      <c r="H31" s="29"/>
      <c r="I31" s="27"/>
      <c r="J31" s="60"/>
    </row>
    <row r="32" spans="2:10" x14ac:dyDescent="0.3">
      <c r="B32" s="425" t="s">
        <v>49</v>
      </c>
      <c r="C32" s="275">
        <f>'1) Wareneinsatz'!G58</f>
        <v>7.4083250000000005</v>
      </c>
      <c r="D32" s="276">
        <f>D24</f>
        <v>0.6</v>
      </c>
      <c r="E32" s="47"/>
      <c r="F32" s="426"/>
      <c r="G32" s="29"/>
      <c r="H32" s="29"/>
      <c r="I32" s="27"/>
      <c r="J32" s="60"/>
    </row>
    <row r="33" spans="2:14" x14ac:dyDescent="0.3">
      <c r="B33" s="425" t="s">
        <v>50</v>
      </c>
      <c r="C33" s="275">
        <f>'1) Wareneinsatz'!L58</f>
        <v>0</v>
      </c>
      <c r="D33" s="276">
        <f>D25</f>
        <v>0.4</v>
      </c>
      <c r="E33" s="47"/>
      <c r="F33" s="426"/>
      <c r="G33" s="52"/>
      <c r="H33" s="29"/>
      <c r="I33" s="27"/>
      <c r="J33" s="60"/>
    </row>
    <row r="34" spans="2:14" x14ac:dyDescent="0.3">
      <c r="B34" s="425"/>
      <c r="C34" s="29"/>
      <c r="D34" s="29"/>
      <c r="E34" s="39"/>
      <c r="F34" s="427"/>
      <c r="G34" s="29"/>
      <c r="H34" s="29"/>
      <c r="I34" s="27"/>
      <c r="J34" s="60"/>
    </row>
    <row r="35" spans="2:14" ht="15" thickBot="1" x14ac:dyDescent="0.35">
      <c r="B35" s="428" t="s">
        <v>85</v>
      </c>
      <c r="C35" s="26"/>
      <c r="D35" s="225"/>
      <c r="E35" s="105">
        <f>F15*C21*((C32*D32)+(C33*D33))</f>
        <v>6032.7472140000009</v>
      </c>
      <c r="F35" s="429" t="s">
        <v>72</v>
      </c>
      <c r="H35" s="342">
        <f>E35/'2) Angaben DB'!D17</f>
        <v>4.4449950000000005</v>
      </c>
      <c r="I35" s="81" t="s">
        <v>268</v>
      </c>
      <c r="J35" s="60"/>
    </row>
    <row r="36" spans="2:14" ht="15" thickBot="1" x14ac:dyDescent="0.35">
      <c r="B36" s="425"/>
      <c r="C36" s="37"/>
      <c r="D36" s="60"/>
      <c r="E36" s="40"/>
      <c r="F36" s="430"/>
      <c r="G36" s="53"/>
      <c r="H36" s="29"/>
      <c r="I36" s="27"/>
      <c r="J36" s="60"/>
    </row>
    <row r="37" spans="2:14" x14ac:dyDescent="0.3">
      <c r="B37" s="423" t="s">
        <v>126</v>
      </c>
      <c r="C37" s="24"/>
      <c r="D37" s="226"/>
      <c r="E37" s="55"/>
      <c r="F37" s="424"/>
      <c r="G37" s="53"/>
      <c r="H37" s="29"/>
      <c r="I37" s="27"/>
      <c r="J37" s="60"/>
    </row>
    <row r="38" spans="2:14" x14ac:dyDescent="0.3">
      <c r="B38" s="425"/>
      <c r="C38" s="37"/>
      <c r="D38" s="60"/>
      <c r="E38" s="40"/>
      <c r="F38" s="430"/>
      <c r="G38" s="53"/>
      <c r="H38" s="29"/>
      <c r="I38" s="27"/>
      <c r="J38" s="60"/>
    </row>
    <row r="39" spans="2:14" x14ac:dyDescent="0.3">
      <c r="B39" s="431" t="s">
        <v>117</v>
      </c>
      <c r="C39" s="227">
        <v>14.6</v>
      </c>
      <c r="D39" s="60" t="s">
        <v>120</v>
      </c>
      <c r="E39" s="60"/>
      <c r="F39" s="432"/>
    </row>
    <row r="40" spans="2:14" x14ac:dyDescent="0.3">
      <c r="B40" s="425"/>
      <c r="C40" s="228">
        <f>IF(B8, 0.29, (0.29/1.19))</f>
        <v>0.28999999999999998</v>
      </c>
      <c r="D40" s="60" t="s">
        <v>118</v>
      </c>
      <c r="E40" s="60"/>
      <c r="F40" s="432"/>
    </row>
    <row r="41" spans="2:14" x14ac:dyDescent="0.3">
      <c r="B41" s="433"/>
      <c r="C41" s="229"/>
      <c r="D41" s="229"/>
      <c r="E41" s="108">
        <f>C39*C40*D16</f>
        <v>736.71600000000001</v>
      </c>
      <c r="F41" s="434" t="s">
        <v>97</v>
      </c>
      <c r="H41" s="109">
        <f>E41/'2) Angaben DB'!D17</f>
        <v>0.5428205128205128</v>
      </c>
      <c r="I41" s="110" t="s">
        <v>268</v>
      </c>
    </row>
    <row r="42" spans="2:14" x14ac:dyDescent="0.3">
      <c r="B42" s="435"/>
      <c r="C42" s="37"/>
      <c r="D42" s="60"/>
      <c r="E42" s="40"/>
      <c r="F42" s="430"/>
      <c r="G42" s="53"/>
      <c r="H42" s="59"/>
      <c r="J42" s="60"/>
    </row>
    <row r="43" spans="2:14" x14ac:dyDescent="0.3">
      <c r="B43" s="431" t="s">
        <v>75</v>
      </c>
      <c r="C43" s="118" t="s">
        <v>121</v>
      </c>
      <c r="D43" s="118" t="s">
        <v>122</v>
      </c>
      <c r="E43" s="118" t="s">
        <v>123</v>
      </c>
      <c r="F43" s="430"/>
      <c r="G43" s="53"/>
      <c r="H43" s="59"/>
      <c r="J43" s="60"/>
    </row>
    <row r="44" spans="2:14" x14ac:dyDescent="0.3">
      <c r="B44" s="435" t="s">
        <v>125</v>
      </c>
      <c r="C44" s="248">
        <f>'2) Angaben DB'!B30</f>
        <v>20</v>
      </c>
      <c r="D44" s="278">
        <f>IF(B8, 10.7, (10.7/1.19))</f>
        <v>10.7</v>
      </c>
      <c r="E44" s="279">
        <f>C44*D44</f>
        <v>214</v>
      </c>
      <c r="F44" s="430"/>
      <c r="G44" s="53"/>
      <c r="H44" s="59"/>
      <c r="J44" s="60"/>
    </row>
    <row r="45" spans="2:14" x14ac:dyDescent="0.3">
      <c r="B45" s="435" t="s">
        <v>124</v>
      </c>
      <c r="C45" s="248">
        <f>'2) Angaben DB'!B31</f>
        <v>40</v>
      </c>
      <c r="D45" s="278">
        <f>IF(B8, 10.7, (10.7/1.19))</f>
        <v>10.7</v>
      </c>
      <c r="E45" s="279">
        <f>C45*D45</f>
        <v>428</v>
      </c>
      <c r="F45" s="430"/>
      <c r="G45" s="53"/>
      <c r="H45" s="59"/>
      <c r="J45" s="60"/>
    </row>
    <row r="46" spans="2:14" x14ac:dyDescent="0.3">
      <c r="B46" s="436"/>
      <c r="C46" s="229"/>
      <c r="D46" s="229"/>
      <c r="E46" s="108">
        <f>E44+E45</f>
        <v>642</v>
      </c>
      <c r="F46" s="434" t="s">
        <v>97</v>
      </c>
      <c r="H46" s="109">
        <f>E46/'2) Angaben DB'!D17</f>
        <v>0.47303271441202477</v>
      </c>
      <c r="I46" s="110" t="s">
        <v>268</v>
      </c>
      <c r="J46" s="60"/>
    </row>
    <row r="47" spans="2:14" x14ac:dyDescent="0.3">
      <c r="B47" s="425"/>
      <c r="C47" s="60"/>
      <c r="D47" s="60"/>
      <c r="E47" s="60"/>
      <c r="F47" s="430"/>
      <c r="J47" s="60"/>
    </row>
    <row r="48" spans="2:14" x14ac:dyDescent="0.3">
      <c r="B48" s="473" t="s">
        <v>107</v>
      </c>
      <c r="C48" s="474" t="s">
        <v>108</v>
      </c>
      <c r="D48" s="40" t="s">
        <v>131</v>
      </c>
      <c r="E48" s="60"/>
      <c r="F48" s="430"/>
      <c r="G48" s="60"/>
      <c r="H48" s="60"/>
      <c r="N48" s="60"/>
    </row>
    <row r="49" spans="1:10" x14ac:dyDescent="0.3">
      <c r="A49" s="60"/>
      <c r="B49" s="475">
        <v>5</v>
      </c>
      <c r="C49" s="476">
        <f>B49</f>
        <v>5</v>
      </c>
      <c r="D49" s="60" t="s">
        <v>127</v>
      </c>
      <c r="E49" s="60"/>
      <c r="F49" s="432"/>
      <c r="G49" s="60"/>
      <c r="H49" s="15"/>
      <c r="J49" s="60"/>
    </row>
    <row r="50" spans="1:10" x14ac:dyDescent="0.3">
      <c r="A50" s="60"/>
      <c r="B50" s="475">
        <v>2</v>
      </c>
      <c r="C50" s="476">
        <f>B50</f>
        <v>2</v>
      </c>
      <c r="D50" s="60" t="s">
        <v>128</v>
      </c>
      <c r="E50" s="60"/>
      <c r="F50" s="430"/>
    </row>
    <row r="51" spans="1:10" x14ac:dyDescent="0.3">
      <c r="A51" s="60"/>
      <c r="B51" s="477">
        <f>IF(B8, 1.62, (1.62/0.19))</f>
        <v>1.62</v>
      </c>
      <c r="C51" s="478">
        <f>IF(B8, 1.98, (1.98/0.19))</f>
        <v>1.98</v>
      </c>
      <c r="D51" s="60" t="s">
        <v>129</v>
      </c>
      <c r="E51" s="60"/>
      <c r="F51" s="430"/>
      <c r="H51" s="59"/>
      <c r="J51" s="60"/>
    </row>
    <row r="52" spans="1:10" x14ac:dyDescent="0.3">
      <c r="A52" s="60"/>
      <c r="B52" s="477">
        <f>B51/1000*B49*B50</f>
        <v>1.6200000000000003E-2</v>
      </c>
      <c r="C52" s="478">
        <f>C51/1000*C49*C50</f>
        <v>1.9799999999999998E-2</v>
      </c>
      <c r="D52" s="60" t="s">
        <v>119</v>
      </c>
      <c r="E52" s="60"/>
      <c r="F52" s="430"/>
      <c r="H52" s="59"/>
      <c r="J52" s="60"/>
    </row>
    <row r="53" spans="1:10" x14ac:dyDescent="0.3">
      <c r="A53" s="60"/>
      <c r="B53" s="475">
        <f>B49*B50*D16</f>
        <v>1740</v>
      </c>
      <c r="C53" s="476">
        <f>C49*C50*D16</f>
        <v>1740</v>
      </c>
      <c r="D53" s="61" t="s">
        <v>130</v>
      </c>
      <c r="E53" s="60"/>
      <c r="F53" s="430"/>
      <c r="H53" s="59"/>
      <c r="J53" s="60"/>
    </row>
    <row r="54" spans="1:10" x14ac:dyDescent="0.3">
      <c r="A54" s="60"/>
      <c r="B54" s="479">
        <f>B52*D16</f>
        <v>2.8188000000000004</v>
      </c>
      <c r="C54" s="480">
        <f>C52*D16</f>
        <v>3.4451999999999998</v>
      </c>
      <c r="D54" s="60"/>
      <c r="E54" s="111">
        <f>B54+C54</f>
        <v>6.2640000000000002</v>
      </c>
      <c r="F54" s="437" t="s">
        <v>97</v>
      </c>
      <c r="H54" s="112">
        <f>E54/'2) Angaben DB'!D17</f>
        <v>4.6153846153846158E-3</v>
      </c>
      <c r="I54" s="110" t="s">
        <v>268</v>
      </c>
      <c r="J54" s="60"/>
    </row>
    <row r="55" spans="1:10" x14ac:dyDescent="0.3">
      <c r="A55" s="60"/>
      <c r="B55" s="438"/>
      <c r="C55" s="262"/>
      <c r="D55" s="60"/>
      <c r="E55" s="74"/>
      <c r="F55" s="439"/>
      <c r="H55" s="112"/>
      <c r="I55" s="110"/>
      <c r="J55" s="60"/>
    </row>
    <row r="56" spans="1:10" x14ac:dyDescent="0.3">
      <c r="A56" s="60"/>
      <c r="B56" s="440"/>
      <c r="C56" s="102"/>
      <c r="D56" s="232"/>
      <c r="E56" s="281">
        <f>E41+E46+E54</f>
        <v>1384.9799999999998</v>
      </c>
      <c r="F56" s="441" t="s">
        <v>139</v>
      </c>
      <c r="H56" s="107">
        <f>E56/'2) Angaben DB'!D17</f>
        <v>1.020468611847922</v>
      </c>
      <c r="I56" s="81" t="s">
        <v>268</v>
      </c>
      <c r="J56" s="60"/>
    </row>
    <row r="57" spans="1:10" ht="15" thickBot="1" x14ac:dyDescent="0.35">
      <c r="B57" s="442"/>
      <c r="C57" s="225"/>
      <c r="D57" s="234" t="s">
        <v>133</v>
      </c>
      <c r="E57" s="103">
        <f>E56/E27</f>
        <v>6.541465460563603E-2</v>
      </c>
      <c r="F57" s="443" t="s">
        <v>287</v>
      </c>
      <c r="J57" s="60"/>
    </row>
    <row r="58" spans="1:10" ht="15" thickBot="1" x14ac:dyDescent="0.35">
      <c r="B58" s="425"/>
      <c r="C58" s="37"/>
      <c r="D58" s="60"/>
      <c r="E58" s="40"/>
      <c r="F58" s="430"/>
      <c r="G58" s="53"/>
      <c r="H58" s="29"/>
      <c r="I58" s="27"/>
      <c r="J58" s="60"/>
    </row>
    <row r="59" spans="1:10" x14ac:dyDescent="0.3">
      <c r="B59" s="423" t="s">
        <v>86</v>
      </c>
      <c r="C59" s="24"/>
      <c r="D59" s="226"/>
      <c r="E59" s="55"/>
      <c r="F59" s="424"/>
      <c r="G59" s="53"/>
      <c r="H59" s="29"/>
      <c r="I59" s="27"/>
      <c r="J59" s="60"/>
    </row>
    <row r="60" spans="1:10" x14ac:dyDescent="0.3">
      <c r="B60" s="444" t="s">
        <v>240</v>
      </c>
      <c r="C60" s="118" t="s">
        <v>243</v>
      </c>
      <c r="D60" s="118" t="s">
        <v>97</v>
      </c>
      <c r="E60" s="60"/>
      <c r="F60" s="432"/>
      <c r="G60" s="53"/>
      <c r="H60" s="29"/>
      <c r="I60" s="27"/>
      <c r="J60" s="60"/>
    </row>
    <row r="61" spans="1:10" x14ac:dyDescent="0.3">
      <c r="B61" s="435" t="s">
        <v>124</v>
      </c>
      <c r="C61" s="85">
        <f>IF(B8, ((1.35/25*'2) Angaben DB'!B31)*D16/F15*C21), (((1.35/25*'2) Angaben DB'!B31)*D16/F15*C21)/1.19))</f>
        <v>9.9692307692307705E-2</v>
      </c>
      <c r="D61" s="280">
        <f>C61*F15*C21</f>
        <v>135.30240000000001</v>
      </c>
      <c r="E61" s="60"/>
      <c r="F61" s="432"/>
      <c r="G61" s="53"/>
      <c r="H61" s="29"/>
      <c r="I61" s="27"/>
      <c r="J61" s="60"/>
    </row>
    <row r="62" spans="1:10" x14ac:dyDescent="0.3">
      <c r="B62" s="425" t="s">
        <v>125</v>
      </c>
      <c r="C62" s="85">
        <f>IF(B8, (((0.04+0.06+0.05)/5*'2) Angaben DB'!B30)*D16/F15*C21), ((((0.04+0.06+0.05)/5*'2) Angaben DB'!B30)*D16/F15*C21)/1.19))</f>
        <v>2.7692307692307697E-2</v>
      </c>
      <c r="D62" s="280">
        <f>C62*F15*C21</f>
        <v>37.584000000000003</v>
      </c>
      <c r="E62" s="60"/>
      <c r="F62" s="432"/>
      <c r="G62" s="53"/>
      <c r="H62" s="29"/>
      <c r="I62" s="27"/>
      <c r="J62" s="60"/>
    </row>
    <row r="63" spans="1:10" x14ac:dyDescent="0.3">
      <c r="B63" s="444" t="s">
        <v>241</v>
      </c>
      <c r="C63" s="118"/>
      <c r="D63" s="280"/>
      <c r="E63" s="60"/>
      <c r="F63" s="430"/>
      <c r="G63" s="53"/>
      <c r="H63" s="29"/>
      <c r="I63" s="27"/>
      <c r="J63" s="60"/>
    </row>
    <row r="64" spans="1:10" x14ac:dyDescent="0.3">
      <c r="B64" s="435" t="s">
        <v>124</v>
      </c>
      <c r="C64" s="86">
        <f>IF(B8, (3.01/25*'2) Angaben DB'!B31*2/F15*C21), ((3.01/25*'2) Angaben DB'!B31*2/F15*C21)/1.19))</f>
        <v>2.5549071618037131E-3</v>
      </c>
      <c r="D64" s="280">
        <f>C64*F15*C21</f>
        <v>3.4675199999999995</v>
      </c>
      <c r="E64" s="60"/>
      <c r="F64" s="430"/>
      <c r="G64" s="53"/>
      <c r="H64" s="29"/>
      <c r="I64" s="27"/>
      <c r="J64" s="60"/>
    </row>
    <row r="65" spans="1:12" x14ac:dyDescent="0.3">
      <c r="B65" s="435" t="s">
        <v>125</v>
      </c>
      <c r="C65" s="86">
        <f>IF(B8, ((((0.03+0.56)*6)+((0.02+0.02)*12)+(0.03*D16))/F15*C21), (((((0.03+0.56)*6)+((0.02+0.02)*12)+(0.03*D16))/F15*C21)/1.19))</f>
        <v>2.4509283819628648E-3</v>
      </c>
      <c r="D65" s="280">
        <f>C65*F15*C21</f>
        <v>3.3264</v>
      </c>
      <c r="E65" s="60"/>
      <c r="F65" s="430"/>
      <c r="G65" s="53"/>
      <c r="H65" s="29"/>
      <c r="I65" s="27"/>
      <c r="J65" s="60"/>
    </row>
    <row r="66" spans="1:12" ht="15" thickBot="1" x14ac:dyDescent="0.35">
      <c r="B66" s="428"/>
      <c r="C66" s="26"/>
      <c r="D66" s="225"/>
      <c r="E66" s="282">
        <f>SUM(D61:D65)</f>
        <v>179.68032000000002</v>
      </c>
      <c r="F66" s="445" t="s">
        <v>72</v>
      </c>
      <c r="G66" s="53"/>
      <c r="H66" s="107">
        <f>E66/'2) Angaben DB'!D17</f>
        <v>0.13239045092838198</v>
      </c>
      <c r="I66" s="81" t="s">
        <v>268</v>
      </c>
      <c r="J66" s="60"/>
    </row>
    <row r="67" spans="1:12" ht="15" thickBot="1" x14ac:dyDescent="0.35">
      <c r="A67" s="60"/>
      <c r="B67" s="425"/>
      <c r="C67" s="37"/>
      <c r="D67" s="60"/>
      <c r="E67" s="40"/>
      <c r="F67" s="430"/>
      <c r="G67" s="53"/>
      <c r="H67" s="29"/>
      <c r="I67" s="27"/>
      <c r="J67" s="60"/>
    </row>
    <row r="68" spans="1:12" x14ac:dyDescent="0.3">
      <c r="B68" s="423" t="s">
        <v>87</v>
      </c>
      <c r="C68" s="24"/>
      <c r="D68" s="226"/>
      <c r="E68" s="55"/>
      <c r="F68" s="424"/>
      <c r="G68" s="53"/>
      <c r="H68" s="29"/>
      <c r="I68" s="27"/>
      <c r="J68" s="60"/>
      <c r="K68" s="60"/>
      <c r="L68" s="60"/>
    </row>
    <row r="69" spans="1:12" ht="14.4" customHeight="1" x14ac:dyDescent="0.3">
      <c r="B69" s="446" t="s">
        <v>307</v>
      </c>
      <c r="C69" s="238"/>
      <c r="D69" s="238"/>
      <c r="E69" s="238"/>
      <c r="F69" s="447"/>
      <c r="G69" s="53"/>
      <c r="H69" s="29"/>
      <c r="I69" s="27"/>
      <c r="J69" s="60"/>
      <c r="K69" s="60"/>
      <c r="L69" s="60"/>
    </row>
    <row r="70" spans="1:12" x14ac:dyDescent="0.3">
      <c r="B70" s="435"/>
      <c r="C70" s="60"/>
      <c r="D70" s="60"/>
      <c r="E70" s="60"/>
      <c r="F70" s="432"/>
      <c r="G70" s="60"/>
      <c r="H70" s="60"/>
      <c r="I70" s="60"/>
      <c r="J70" s="60"/>
      <c r="K70" s="11"/>
      <c r="L70" s="60"/>
    </row>
    <row r="71" spans="1:12" x14ac:dyDescent="0.3">
      <c r="B71" s="448" t="s">
        <v>132</v>
      </c>
      <c r="C71" s="569" t="s">
        <v>281</v>
      </c>
      <c r="D71" s="570"/>
      <c r="E71" s="60"/>
      <c r="F71" s="432"/>
      <c r="G71" s="60"/>
      <c r="H71" s="60"/>
      <c r="I71" s="60"/>
      <c r="J71" s="60"/>
      <c r="K71" s="11"/>
      <c r="L71" s="60"/>
    </row>
    <row r="72" spans="1:12" x14ac:dyDescent="0.3">
      <c r="B72" s="435" t="s">
        <v>242</v>
      </c>
      <c r="C72" s="236">
        <v>10</v>
      </c>
      <c r="D72" s="15" t="s">
        <v>282</v>
      </c>
      <c r="E72" s="60"/>
      <c r="F72" s="449"/>
      <c r="G72" s="60"/>
      <c r="H72" s="15"/>
      <c r="I72" s="80"/>
      <c r="J72" s="60"/>
      <c r="K72" s="11"/>
      <c r="L72" s="60"/>
    </row>
    <row r="73" spans="1:12" x14ac:dyDescent="0.3">
      <c r="B73" s="435" t="s">
        <v>137</v>
      </c>
      <c r="C73" s="236">
        <f>7.6*0.1</f>
        <v>0.76</v>
      </c>
      <c r="D73" s="60" t="s">
        <v>282</v>
      </c>
      <c r="E73" s="60"/>
      <c r="F73" s="432"/>
      <c r="G73" s="60"/>
      <c r="H73" s="60"/>
      <c r="I73" s="60"/>
      <c r="J73" s="60"/>
      <c r="K73" s="11"/>
      <c r="L73" s="60"/>
    </row>
    <row r="74" spans="1:12" x14ac:dyDescent="0.3">
      <c r="B74" s="435" t="s">
        <v>138</v>
      </c>
      <c r="C74" s="236">
        <f>6*0.1</f>
        <v>0.60000000000000009</v>
      </c>
      <c r="D74" s="60" t="s">
        <v>282</v>
      </c>
      <c r="E74" s="60"/>
      <c r="F74" s="432"/>
      <c r="G74" s="60"/>
      <c r="H74" s="60"/>
      <c r="I74" s="60"/>
      <c r="J74" s="60"/>
      <c r="K74" s="11"/>
      <c r="L74" s="60"/>
    </row>
    <row r="75" spans="1:12" x14ac:dyDescent="0.3">
      <c r="B75" s="425" t="s">
        <v>238</v>
      </c>
      <c r="C75" s="236">
        <f>(107.4/25*'2) Angaben DB'!B31*D16/F15*C21)+(71.9/25*'2) Angaben DB'!B31*2/F15*C21)</f>
        <v>7.9921061007957555</v>
      </c>
      <c r="D75" s="60" t="s">
        <v>282</v>
      </c>
      <c r="E75" s="60"/>
      <c r="F75" s="432"/>
      <c r="G75" s="60"/>
      <c r="H75" s="60"/>
      <c r="I75" s="60"/>
      <c r="J75" s="60"/>
      <c r="K75" s="11"/>
      <c r="L75" s="60"/>
    </row>
    <row r="76" spans="1:12" x14ac:dyDescent="0.3">
      <c r="B76" s="425" t="s">
        <v>239</v>
      </c>
      <c r="C76" s="236">
        <f>((((3.1+3.1+7)/5*'2) Angaben DB'!B30)*D16/F15*C21))+(((((20+15)*6)+((9+5)*12)+(2*D16))/F15*C21))</f>
        <v>2.6294960212201586</v>
      </c>
      <c r="D76" s="60" t="s">
        <v>282</v>
      </c>
      <c r="E76" s="60"/>
      <c r="F76" s="432"/>
      <c r="G76" s="60"/>
      <c r="H76" s="60"/>
      <c r="I76" s="60"/>
      <c r="J76" s="60"/>
      <c r="K76" s="11"/>
      <c r="L76" s="60"/>
    </row>
    <row r="77" spans="1:12" x14ac:dyDescent="0.3">
      <c r="B77" s="450" t="s">
        <v>280</v>
      </c>
      <c r="C77" s="289">
        <f>SUM(C72:C76)</f>
        <v>21.981602122015914</v>
      </c>
      <c r="D77" s="288" t="s">
        <v>282</v>
      </c>
      <c r="E77" s="60"/>
      <c r="F77" s="432"/>
      <c r="G77" s="60"/>
      <c r="H77" s="60"/>
      <c r="I77" s="60"/>
      <c r="J77" s="60"/>
      <c r="K77" s="11"/>
      <c r="L77" s="60"/>
    </row>
    <row r="78" spans="1:12" x14ac:dyDescent="0.3">
      <c r="B78" s="450" t="s">
        <v>140</v>
      </c>
      <c r="C78" s="290">
        <f>C77/60</f>
        <v>0.3663600353669319</v>
      </c>
      <c r="D78" s="291" t="s">
        <v>283</v>
      </c>
      <c r="E78" s="60"/>
      <c r="F78" s="432"/>
      <c r="G78" s="60"/>
      <c r="H78" s="60"/>
      <c r="I78" s="60"/>
      <c r="J78" s="60"/>
      <c r="K78" s="11"/>
      <c r="L78" s="60"/>
    </row>
    <row r="79" spans="1:12" x14ac:dyDescent="0.3">
      <c r="B79" s="451"/>
      <c r="C79" s="203"/>
      <c r="D79" s="73"/>
      <c r="E79" s="60"/>
      <c r="F79" s="432"/>
      <c r="G79" s="60"/>
      <c r="H79" s="60"/>
      <c r="I79" s="60"/>
      <c r="J79" s="60"/>
      <c r="K79" s="11"/>
      <c r="L79" s="60"/>
    </row>
    <row r="80" spans="1:12" x14ac:dyDescent="0.3">
      <c r="B80" s="452" t="s">
        <v>233</v>
      </c>
      <c r="C80" s="286">
        <f>C78*F15*C21</f>
        <v>497.22383999999994</v>
      </c>
      <c r="D80" s="287" t="s">
        <v>284</v>
      </c>
      <c r="E80" s="60"/>
      <c r="F80" s="432"/>
      <c r="G80" s="60"/>
      <c r="H80" s="60"/>
      <c r="I80" s="60"/>
      <c r="J80" s="60"/>
      <c r="K80" s="11"/>
      <c r="L80" s="60"/>
    </row>
    <row r="81" spans="2:12" x14ac:dyDescent="0.3">
      <c r="B81" s="435"/>
      <c r="C81" s="230"/>
      <c r="D81" s="60"/>
      <c r="E81" s="60"/>
      <c r="F81" s="432"/>
      <c r="G81" s="60"/>
      <c r="H81" s="60"/>
      <c r="I81" s="60"/>
      <c r="J81" s="60"/>
      <c r="K81" s="11"/>
      <c r="L81" s="60"/>
    </row>
    <row r="82" spans="2:12" x14ac:dyDescent="0.3">
      <c r="B82" s="446" t="s">
        <v>237</v>
      </c>
      <c r="C82" s="60">
        <f>'2) Angaben DB'!B25</f>
        <v>0</v>
      </c>
      <c r="D82" s="60" t="s">
        <v>231</v>
      </c>
      <c r="E82" s="238"/>
      <c r="F82" s="447"/>
      <c r="G82" s="238"/>
      <c r="H82" s="60"/>
      <c r="I82" s="60"/>
      <c r="J82" s="60"/>
      <c r="K82" s="11"/>
      <c r="L82" s="60"/>
    </row>
    <row r="83" spans="2:12" ht="14.4" customHeight="1" x14ac:dyDescent="0.3">
      <c r="B83" s="453" t="s">
        <v>133</v>
      </c>
      <c r="C83" s="15">
        <f>C82*50/C80</f>
        <v>0</v>
      </c>
      <c r="D83" s="60" t="s">
        <v>232</v>
      </c>
      <c r="E83" s="60"/>
      <c r="F83" s="432"/>
      <c r="G83" s="240"/>
      <c r="H83" s="60"/>
      <c r="I83" s="60"/>
      <c r="J83" s="60"/>
      <c r="K83" s="11"/>
      <c r="L83" s="60"/>
    </row>
    <row r="84" spans="2:12" ht="14.4" customHeight="1" x14ac:dyDescent="0.3">
      <c r="B84" s="435" t="s">
        <v>134</v>
      </c>
      <c r="C84" s="381">
        <v>19</v>
      </c>
      <c r="D84" s="60" t="s">
        <v>135</v>
      </c>
      <c r="E84" s="15"/>
      <c r="F84" s="432"/>
      <c r="G84" s="240"/>
      <c r="H84" s="60"/>
      <c r="I84" s="60"/>
      <c r="J84" s="60"/>
      <c r="K84" s="11"/>
      <c r="L84" s="60"/>
    </row>
    <row r="85" spans="2:12" x14ac:dyDescent="0.3">
      <c r="B85" s="435"/>
      <c r="C85" s="60"/>
      <c r="D85" s="60"/>
      <c r="E85" s="283">
        <f>C83*C80*C84</f>
        <v>0</v>
      </c>
      <c r="F85" s="454" t="s">
        <v>72</v>
      </c>
      <c r="G85" s="60"/>
      <c r="H85" s="107">
        <f>E85/'2) Angaben DB'!D17</f>
        <v>0</v>
      </c>
      <c r="I85" s="81" t="s">
        <v>268</v>
      </c>
      <c r="J85" s="37"/>
      <c r="K85" s="11"/>
      <c r="L85" s="60"/>
    </row>
    <row r="86" spans="2:12" ht="15" thickBot="1" x14ac:dyDescent="0.35">
      <c r="B86" s="428" t="s">
        <v>136</v>
      </c>
      <c r="C86" s="241"/>
      <c r="D86" s="225"/>
      <c r="E86" s="225"/>
      <c r="F86" s="443"/>
      <c r="G86" s="60"/>
      <c r="H86" s="60"/>
      <c r="I86" s="60"/>
      <c r="J86" s="60"/>
      <c r="K86" s="11"/>
      <c r="L86" s="60"/>
    </row>
    <row r="87" spans="2:12" s="60" customFormat="1" ht="15" thickBot="1" x14ac:dyDescent="0.35">
      <c r="B87" s="435"/>
      <c r="C87" s="236"/>
      <c r="F87" s="432"/>
      <c r="K87" s="11"/>
    </row>
    <row r="88" spans="2:12" x14ac:dyDescent="0.3">
      <c r="B88" s="423" t="s">
        <v>270</v>
      </c>
      <c r="C88" s="567" t="s">
        <v>141</v>
      </c>
      <c r="D88" s="226"/>
      <c r="E88" s="55"/>
      <c r="F88" s="424"/>
      <c r="G88" s="53"/>
      <c r="H88" s="29"/>
      <c r="I88" s="27"/>
      <c r="J88" s="60"/>
    </row>
    <row r="89" spans="2:12" x14ac:dyDescent="0.3">
      <c r="B89" s="435"/>
      <c r="C89" s="568"/>
      <c r="D89" s="242" t="s">
        <v>142</v>
      </c>
      <c r="E89" s="60"/>
      <c r="F89" s="432"/>
      <c r="G89" s="60"/>
      <c r="I89" s="53"/>
      <c r="J89" s="60"/>
    </row>
    <row r="90" spans="2:12" ht="15" thickBot="1" x14ac:dyDescent="0.35">
      <c r="B90" s="442" t="s">
        <v>304</v>
      </c>
      <c r="C90" s="285">
        <v>5</v>
      </c>
      <c r="D90" s="386">
        <f>IF(B8, 0.35, (0.35/1.19))</f>
        <v>0.35</v>
      </c>
      <c r="E90" s="282">
        <f>D16/6*2*C90*2*D90</f>
        <v>203</v>
      </c>
      <c r="F90" s="445" t="s">
        <v>72</v>
      </c>
      <c r="G90" s="60"/>
      <c r="H90" s="107">
        <f>E90/'2) Angaben DB'!D17</f>
        <v>0.14957264957264957</v>
      </c>
      <c r="I90" s="81" t="s">
        <v>268</v>
      </c>
      <c r="J90" s="60"/>
      <c r="L90" s="258"/>
    </row>
    <row r="91" spans="2:12" ht="15" thickBot="1" x14ac:dyDescent="0.35">
      <c r="B91" s="425"/>
      <c r="C91" s="37"/>
      <c r="D91" s="60"/>
      <c r="E91" s="40"/>
      <c r="F91" s="430"/>
      <c r="G91" s="53"/>
      <c r="H91" s="29"/>
      <c r="I91" s="27"/>
      <c r="J91" s="60"/>
    </row>
    <row r="92" spans="2:12" ht="15.6" thickTop="1" thickBot="1" x14ac:dyDescent="0.35">
      <c r="B92" s="457" t="s">
        <v>313</v>
      </c>
      <c r="C92" s="458"/>
      <c r="D92" s="458"/>
      <c r="E92" s="459">
        <f>E35+E66+E56+E85+E90</f>
        <v>7800.4075340000009</v>
      </c>
      <c r="F92" s="460" t="s">
        <v>72</v>
      </c>
      <c r="G92" s="53"/>
      <c r="H92" s="463">
        <f>E92/'2) Angaben DB'!D17</f>
        <v>5.747426712348954</v>
      </c>
      <c r="I92" s="462" t="s">
        <v>268</v>
      </c>
      <c r="J92" s="60"/>
    </row>
    <row r="93" spans="2:12" ht="15.6" thickTop="1" thickBot="1" x14ac:dyDescent="0.35">
      <c r="B93" s="49"/>
      <c r="C93" s="49"/>
      <c r="D93" s="49"/>
      <c r="E93" s="461"/>
      <c r="F93" s="49"/>
      <c r="G93" s="53"/>
      <c r="H93" s="99"/>
      <c r="I93" s="49"/>
      <c r="J93" s="61"/>
    </row>
    <row r="94" spans="2:12" ht="15.6" thickTop="1" thickBot="1" x14ac:dyDescent="0.35">
      <c r="B94" s="457" t="s">
        <v>308</v>
      </c>
      <c r="C94" s="458"/>
      <c r="D94" s="458"/>
      <c r="E94" s="470">
        <f>E27-E35-E56-E66-E85-E90</f>
        <v>13371.912466</v>
      </c>
      <c r="F94" s="460" t="s">
        <v>72</v>
      </c>
      <c r="H94" s="471">
        <f>E94/'2) Angaben DB'!D17</f>
        <v>9.8525732876510457</v>
      </c>
      <c r="I94" s="460" t="s">
        <v>268</v>
      </c>
      <c r="J94" s="60"/>
    </row>
    <row r="95" spans="2:12" ht="15" thickTop="1" x14ac:dyDescent="0.3">
      <c r="B95" s="37"/>
      <c r="C95" s="37"/>
      <c r="D95" s="60"/>
      <c r="E95" s="40"/>
      <c r="F95" s="37"/>
      <c r="G95" s="53"/>
      <c r="H95" s="29"/>
      <c r="I95" s="27"/>
      <c r="J95" s="60"/>
    </row>
    <row r="96" spans="2:12" x14ac:dyDescent="0.3">
      <c r="B96" s="37"/>
      <c r="C96" s="37"/>
      <c r="D96" s="60"/>
      <c r="E96" s="40"/>
      <c r="F96" s="37"/>
      <c r="G96" s="53"/>
      <c r="H96" s="29"/>
      <c r="I96" s="27"/>
      <c r="J96" s="60"/>
    </row>
    <row r="97" spans="1:14" x14ac:dyDescent="0.3">
      <c r="B97" s="37"/>
      <c r="C97" s="37"/>
      <c r="D97" s="60"/>
      <c r="E97" s="40"/>
      <c r="F97" s="37"/>
      <c r="G97" s="53"/>
      <c r="H97" s="29"/>
      <c r="I97" s="27"/>
      <c r="J97" s="60"/>
    </row>
    <row r="98" spans="1:14" ht="15" thickBot="1" x14ac:dyDescent="0.35">
      <c r="B98" s="37"/>
      <c r="C98" s="37"/>
      <c r="D98" s="60"/>
      <c r="E98" s="40"/>
      <c r="F98" s="37"/>
      <c r="G98" s="53"/>
      <c r="H98" s="29"/>
      <c r="I98" s="27"/>
      <c r="J98" s="60"/>
    </row>
    <row r="99" spans="1:14" ht="15" thickBot="1" x14ac:dyDescent="0.35">
      <c r="B99" s="134" t="s">
        <v>88</v>
      </c>
      <c r="C99" s="37"/>
      <c r="D99" s="60"/>
      <c r="E99" s="40"/>
      <c r="F99" s="37"/>
      <c r="G99" s="53"/>
      <c r="H99" s="29"/>
      <c r="I99" s="27"/>
      <c r="J99" s="60"/>
    </row>
    <row r="100" spans="1:14" ht="15" thickBot="1" x14ac:dyDescent="0.35">
      <c r="A100" s="60"/>
      <c r="B100" s="397"/>
      <c r="C100" s="37"/>
      <c r="D100" s="60"/>
      <c r="E100" s="40"/>
      <c r="F100" s="37"/>
      <c r="G100" s="53"/>
      <c r="H100" s="29"/>
      <c r="I100" s="27"/>
      <c r="J100" s="60"/>
    </row>
    <row r="101" spans="1:14" ht="15" thickBot="1" x14ac:dyDescent="0.35">
      <c r="B101" s="124" t="s">
        <v>308</v>
      </c>
      <c r="C101" s="125"/>
      <c r="D101" s="125"/>
      <c r="E101" s="125"/>
      <c r="F101" s="125"/>
      <c r="G101" s="125"/>
      <c r="H101" s="125"/>
      <c r="I101" s="125"/>
      <c r="J101" s="284">
        <f>E94</f>
        <v>13371.912466</v>
      </c>
      <c r="K101" s="127" t="s">
        <v>72</v>
      </c>
      <c r="M101" s="126">
        <f>H94</f>
        <v>9.8525732876510457</v>
      </c>
      <c r="N101" s="125" t="s">
        <v>268</v>
      </c>
    </row>
    <row r="102" spans="1:14" ht="15" thickBot="1" x14ac:dyDescent="0.35">
      <c r="B102" s="29"/>
      <c r="C102" s="37"/>
      <c r="D102" s="60"/>
      <c r="E102" s="40"/>
      <c r="F102" s="37"/>
      <c r="G102" s="53"/>
      <c r="H102" s="29"/>
      <c r="I102" s="27"/>
      <c r="J102" s="60"/>
      <c r="L102" s="60"/>
      <c r="M102" s="60"/>
      <c r="N102" s="60"/>
    </row>
    <row r="103" spans="1:14" x14ac:dyDescent="0.3">
      <c r="B103" s="104" t="s">
        <v>211</v>
      </c>
      <c r="C103" s="226"/>
      <c r="D103" s="567" t="s">
        <v>289</v>
      </c>
      <c r="E103" s="226"/>
      <c r="F103" s="226"/>
      <c r="G103" s="226"/>
      <c r="H103" s="226"/>
      <c r="I103" s="226"/>
      <c r="J103" s="226"/>
      <c r="K103" s="243"/>
      <c r="L103" s="60"/>
      <c r="M103" s="60"/>
      <c r="N103" s="60"/>
    </row>
    <row r="104" spans="1:14" ht="58.95" customHeight="1" x14ac:dyDescent="0.3">
      <c r="B104" s="101" t="s">
        <v>245</v>
      </c>
      <c r="C104" s="296" t="s">
        <v>290</v>
      </c>
      <c r="D104" s="568"/>
      <c r="E104" s="244" t="s">
        <v>212</v>
      </c>
      <c r="F104" s="244" t="s">
        <v>305</v>
      </c>
      <c r="G104" s="224" t="s">
        <v>220</v>
      </c>
      <c r="H104" s="224" t="s">
        <v>221</v>
      </c>
      <c r="I104" s="224" t="s">
        <v>272</v>
      </c>
      <c r="J104" s="114" t="s">
        <v>222</v>
      </c>
      <c r="K104" s="87"/>
      <c r="L104" s="60"/>
      <c r="M104" s="60"/>
      <c r="N104" s="60"/>
    </row>
    <row r="105" spans="1:14" x14ac:dyDescent="0.3">
      <c r="B105" s="63" t="s">
        <v>125</v>
      </c>
      <c r="C105" s="118">
        <f>C44</f>
        <v>20</v>
      </c>
      <c r="D105" s="60"/>
      <c r="E105" s="292">
        <f>IF('2) Angaben DB'!D30, (IF(B8, 'Datengrundlage Investition'!G36, 'Datengrundlage Investition'!G36/1.19)), 0)</f>
        <v>750</v>
      </c>
      <c r="F105" s="292">
        <f>E105*C105</f>
        <v>15000</v>
      </c>
      <c r="G105" s="382">
        <v>0.5</v>
      </c>
      <c r="H105" s="246">
        <f>1-G105</f>
        <v>0.5</v>
      </c>
      <c r="I105" s="118">
        <v>10</v>
      </c>
      <c r="J105" s="245">
        <f>F105/I105</f>
        <v>1500</v>
      </c>
      <c r="K105" s="87"/>
      <c r="L105" s="60"/>
      <c r="M105" s="60"/>
      <c r="N105" s="60"/>
    </row>
    <row r="106" spans="1:14" x14ac:dyDescent="0.3">
      <c r="B106" s="63" t="s">
        <v>124</v>
      </c>
      <c r="C106" s="118">
        <f>'2) Angaben DB'!B31</f>
        <v>40</v>
      </c>
      <c r="D106" s="118">
        <f>E16*C15</f>
        <v>13</v>
      </c>
      <c r="E106" s="292">
        <f>IF('2) Angaben DB'!D31, (IF(B8, 'Datengrundlage Investition'!G73, 'Datengrundlage Investition'!G73/1.19)), 0)</f>
        <v>0</v>
      </c>
      <c r="F106" s="292">
        <f>E106*D106</f>
        <v>0</v>
      </c>
      <c r="G106" s="382">
        <v>0.5</v>
      </c>
      <c r="H106" s="246">
        <f>1-G106</f>
        <v>0.5</v>
      </c>
      <c r="I106" s="118">
        <v>10</v>
      </c>
      <c r="J106" s="245">
        <f>F106/I106</f>
        <v>0</v>
      </c>
      <c r="K106" s="87"/>
      <c r="L106" s="60"/>
      <c r="M106" s="60"/>
      <c r="N106" s="60"/>
    </row>
    <row r="107" spans="1:14" x14ac:dyDescent="0.3">
      <c r="B107" s="190" t="s">
        <v>247</v>
      </c>
      <c r="C107" s="232"/>
      <c r="D107" s="232"/>
      <c r="E107" s="293"/>
      <c r="F107" s="294">
        <f>F105+F106</f>
        <v>15000</v>
      </c>
      <c r="G107" s="247">
        <f>AVERAGE(G105:G106)</f>
        <v>0.5</v>
      </c>
      <c r="H107" s="247">
        <f>AVERAGE(H105:H106)</f>
        <v>0.5</v>
      </c>
      <c r="I107" s="232"/>
      <c r="J107" s="88">
        <f>J105+J106</f>
        <v>1500</v>
      </c>
      <c r="K107" s="113" t="s">
        <v>99</v>
      </c>
      <c r="L107" s="60"/>
    </row>
    <row r="108" spans="1:14" x14ac:dyDescent="0.3">
      <c r="B108" s="63"/>
      <c r="C108" s="60"/>
      <c r="D108" s="60"/>
      <c r="E108" s="60"/>
      <c r="F108" s="60"/>
      <c r="G108" s="60"/>
      <c r="H108" s="60"/>
      <c r="I108" s="60"/>
      <c r="J108" s="70"/>
      <c r="K108" s="87"/>
      <c r="L108" s="60"/>
    </row>
    <row r="109" spans="1:14" x14ac:dyDescent="0.3">
      <c r="B109" s="51" t="s">
        <v>246</v>
      </c>
      <c r="C109" s="60"/>
      <c r="D109" s="60"/>
      <c r="E109" s="118" t="s">
        <v>129</v>
      </c>
      <c r="F109" s="118"/>
      <c r="G109" s="60"/>
      <c r="H109" s="60"/>
      <c r="I109" s="60"/>
      <c r="J109" s="70"/>
      <c r="K109" s="87"/>
      <c r="L109" s="60"/>
    </row>
    <row r="110" spans="1:14" x14ac:dyDescent="0.3">
      <c r="B110" s="25" t="s">
        <v>125</v>
      </c>
      <c r="C110" s="118">
        <f>'2) Angaben DB'!B30</f>
        <v>20</v>
      </c>
      <c r="D110" s="60"/>
      <c r="E110" s="93">
        <f>IF('2) Angaben DB'!E30, (IF(B8, 385, (385/1.19))), 0)</f>
        <v>0</v>
      </c>
      <c r="F110" s="93">
        <f>C110*2.4*E110</f>
        <v>0</v>
      </c>
      <c r="G110" s="382">
        <v>0.5</v>
      </c>
      <c r="H110" s="69">
        <v>0.5</v>
      </c>
      <c r="I110" s="248">
        <v>25</v>
      </c>
      <c r="J110" s="11">
        <f>F110/I110</f>
        <v>0</v>
      </c>
      <c r="K110" s="87"/>
      <c r="L110" s="60"/>
    </row>
    <row r="111" spans="1:14" x14ac:dyDescent="0.3">
      <c r="B111" s="25" t="s">
        <v>124</v>
      </c>
      <c r="C111" s="118">
        <f>'2) Angaben DB'!B31</f>
        <v>40</v>
      </c>
      <c r="D111" s="60"/>
      <c r="E111" s="93">
        <f>IF('2) Angaben DB'!E31, (IF(B8, 385, (385/1.19))), 0)</f>
        <v>0</v>
      </c>
      <c r="F111" s="93">
        <f>C111*2.4*E111</f>
        <v>0</v>
      </c>
      <c r="G111" s="382">
        <v>0.5</v>
      </c>
      <c r="H111" s="69">
        <v>0.5</v>
      </c>
      <c r="I111" s="248">
        <v>25</v>
      </c>
      <c r="J111" s="11">
        <f>F111/I111</f>
        <v>0</v>
      </c>
      <c r="K111" s="87"/>
      <c r="L111" s="60"/>
    </row>
    <row r="112" spans="1:14" x14ac:dyDescent="0.3">
      <c r="B112" s="191" t="s">
        <v>248</v>
      </c>
      <c r="C112" s="232"/>
      <c r="D112" s="232"/>
      <c r="E112" s="249"/>
      <c r="F112" s="295">
        <f>F110+F111</f>
        <v>0</v>
      </c>
      <c r="G112" s="247">
        <f>AVERAGE(G110:G111)</f>
        <v>0.5</v>
      </c>
      <c r="H112" s="247">
        <f>AVERAGE(H110:H111)</f>
        <v>0.5</v>
      </c>
      <c r="I112" s="249"/>
      <c r="J112" s="89">
        <f>SUM(J110:J111)</f>
        <v>0</v>
      </c>
      <c r="K112" s="113" t="s">
        <v>99</v>
      </c>
      <c r="L112" s="60"/>
    </row>
    <row r="113" spans="2:15" x14ac:dyDescent="0.3">
      <c r="B113" s="63"/>
      <c r="C113" s="60"/>
      <c r="D113" s="60"/>
      <c r="E113" s="60"/>
      <c r="F113" s="60"/>
      <c r="G113" s="250"/>
      <c r="H113" s="250"/>
      <c r="I113" s="60"/>
      <c r="J113" s="70"/>
      <c r="K113" s="87"/>
      <c r="L113" s="60"/>
    </row>
    <row r="114" spans="2:15" x14ac:dyDescent="0.3">
      <c r="B114" s="106" t="s">
        <v>273</v>
      </c>
      <c r="C114" s="60"/>
      <c r="D114" s="60"/>
      <c r="E114" s="60"/>
      <c r="F114" s="60"/>
      <c r="G114" s="250"/>
      <c r="H114" s="250"/>
      <c r="I114" s="60"/>
      <c r="J114" s="119">
        <f>J107+J112</f>
        <v>1500</v>
      </c>
      <c r="K114" s="115" t="s">
        <v>99</v>
      </c>
      <c r="L114" s="60"/>
    </row>
    <row r="115" spans="2:15" s="251" customFormat="1" x14ac:dyDescent="0.3">
      <c r="B115" s="77"/>
      <c r="C115" s="61"/>
      <c r="D115" s="61"/>
      <c r="E115" s="61"/>
      <c r="F115" s="61"/>
      <c r="G115" s="252"/>
      <c r="H115" s="252"/>
      <c r="I115" s="61"/>
      <c r="J115" s="135"/>
      <c r="K115" s="136"/>
      <c r="L115" s="61"/>
    </row>
    <row r="116" spans="2:15" x14ac:dyDescent="0.3">
      <c r="B116" s="106" t="s">
        <v>89</v>
      </c>
      <c r="D116" s="15">
        <v>0.01</v>
      </c>
      <c r="E116" s="60" t="s">
        <v>292</v>
      </c>
      <c r="F116" s="60"/>
      <c r="G116" s="60"/>
      <c r="H116" s="60"/>
      <c r="I116" s="60"/>
      <c r="J116" s="82">
        <f>D116*(F107+F112)</f>
        <v>150</v>
      </c>
      <c r="K116" s="115" t="s">
        <v>99</v>
      </c>
      <c r="L116" s="60"/>
    </row>
    <row r="117" spans="2:15" x14ac:dyDescent="0.3">
      <c r="B117" s="106" t="s">
        <v>90</v>
      </c>
      <c r="D117" s="56">
        <v>4.5999999999999999E-2</v>
      </c>
      <c r="E117" s="60" t="s">
        <v>279</v>
      </c>
      <c r="F117" s="60"/>
      <c r="G117" s="60"/>
      <c r="H117" s="60"/>
      <c r="I117" s="60"/>
      <c r="J117" s="82">
        <f>D117*0.5*((H107*F107)+(F112*H112))</f>
        <v>172.5</v>
      </c>
      <c r="K117" s="115" t="s">
        <v>99</v>
      </c>
      <c r="L117" s="60"/>
    </row>
    <row r="118" spans="2:15" x14ac:dyDescent="0.3">
      <c r="B118" s="63"/>
      <c r="C118" s="60"/>
      <c r="D118" s="60"/>
      <c r="E118" s="60"/>
      <c r="F118" s="60"/>
      <c r="G118" s="60"/>
      <c r="H118" s="60"/>
      <c r="I118" s="60"/>
      <c r="J118" s="60"/>
      <c r="K118" s="62"/>
      <c r="L118" s="60"/>
    </row>
    <row r="119" spans="2:15" ht="15" thickBot="1" x14ac:dyDescent="0.35">
      <c r="B119" s="137" t="s">
        <v>275</v>
      </c>
      <c r="C119" s="225"/>
      <c r="D119" s="225"/>
      <c r="E119" s="225"/>
      <c r="F119" s="225"/>
      <c r="G119" s="225"/>
      <c r="H119" s="225"/>
      <c r="I119" s="225"/>
      <c r="J119" s="121">
        <f>J114+J116+J117</f>
        <v>1822.5</v>
      </c>
      <c r="K119" s="122" t="s">
        <v>99</v>
      </c>
      <c r="L119" s="60"/>
      <c r="M119" s="107">
        <f>J119/'2) Angaben DB'!D17</f>
        <v>1.3428381962864722</v>
      </c>
      <c r="N119" s="81" t="s">
        <v>268</v>
      </c>
    </row>
    <row r="120" spans="2:15" ht="15" thickBot="1" x14ac:dyDescent="0.35">
      <c r="J120" s="28"/>
    </row>
    <row r="121" spans="2:15" x14ac:dyDescent="0.3">
      <c r="B121" s="120" t="s">
        <v>91</v>
      </c>
      <c r="C121" s="226"/>
      <c r="D121" s="226"/>
      <c r="E121" s="226"/>
      <c r="F121" s="226"/>
      <c r="G121" s="226"/>
      <c r="H121" s="226"/>
      <c r="I121" s="226"/>
      <c r="J121" s="226"/>
      <c r="K121" s="243"/>
      <c r="L121" s="60"/>
      <c r="M121" s="60"/>
      <c r="N121" s="60"/>
      <c r="O121" s="64"/>
    </row>
    <row r="122" spans="2:15" x14ac:dyDescent="0.3">
      <c r="B122" s="253" t="s">
        <v>235</v>
      </c>
      <c r="C122" s="236">
        <f>C80</f>
        <v>497.22383999999994</v>
      </c>
      <c r="D122" s="60"/>
      <c r="E122" s="60"/>
      <c r="F122" s="60"/>
      <c r="G122" s="60"/>
      <c r="H122" s="60"/>
      <c r="I122" s="60"/>
      <c r="J122" s="60"/>
      <c r="K122" s="87"/>
      <c r="L122" s="60"/>
      <c r="M122" s="60"/>
      <c r="N122" s="60"/>
      <c r="O122" s="64"/>
    </row>
    <row r="123" spans="2:15" x14ac:dyDescent="0.3">
      <c r="B123" s="237" t="s">
        <v>309</v>
      </c>
      <c r="C123" s="60">
        <f>'2) Angaben DB'!B26</f>
        <v>0</v>
      </c>
      <c r="D123" s="60" t="s">
        <v>231</v>
      </c>
      <c r="E123" s="60"/>
      <c r="F123" s="60"/>
      <c r="G123" s="60"/>
      <c r="H123" s="60"/>
      <c r="I123" s="60"/>
      <c r="J123" s="238"/>
      <c r="K123" s="239"/>
      <c r="L123" s="60"/>
      <c r="M123" s="60"/>
      <c r="N123" s="60"/>
      <c r="O123" s="64"/>
    </row>
    <row r="124" spans="2:15" x14ac:dyDescent="0.3">
      <c r="B124" s="235" t="s">
        <v>133</v>
      </c>
      <c r="C124" s="15">
        <f>C123*50/C80</f>
        <v>0</v>
      </c>
      <c r="D124" s="60" t="s">
        <v>232</v>
      </c>
      <c r="E124" s="60"/>
      <c r="F124" s="60"/>
      <c r="G124" s="60"/>
      <c r="H124" s="60"/>
      <c r="I124" s="60"/>
      <c r="J124" s="60"/>
      <c r="K124" s="87"/>
      <c r="L124" s="60"/>
      <c r="M124" s="60"/>
      <c r="N124" s="60"/>
      <c r="O124" s="64"/>
    </row>
    <row r="125" spans="2:15" x14ac:dyDescent="0.3">
      <c r="B125" s="63" t="s">
        <v>134</v>
      </c>
      <c r="C125" s="381">
        <v>24</v>
      </c>
      <c r="D125" s="60" t="s">
        <v>135</v>
      </c>
      <c r="E125" s="60"/>
      <c r="F125" s="60"/>
      <c r="G125" s="60"/>
      <c r="H125" s="60"/>
      <c r="I125" s="60"/>
      <c r="J125" s="15"/>
      <c r="K125" s="87"/>
      <c r="L125" s="60"/>
      <c r="M125" s="60"/>
      <c r="N125" s="60"/>
      <c r="O125" s="64"/>
    </row>
    <row r="126" spans="2:15" ht="15" thickBot="1" x14ac:dyDescent="0.35">
      <c r="B126" s="233"/>
      <c r="C126" s="225"/>
      <c r="D126" s="225"/>
      <c r="E126" s="225"/>
      <c r="F126" s="225"/>
      <c r="G126" s="225"/>
      <c r="H126" s="225"/>
      <c r="I126" s="225"/>
      <c r="J126" s="121">
        <f>C124*C122*C125</f>
        <v>0</v>
      </c>
      <c r="K126" s="122" t="s">
        <v>72</v>
      </c>
      <c r="L126" s="60"/>
      <c r="M126" s="107">
        <f>J126/'2) Angaben DB'!D17</f>
        <v>0</v>
      </c>
      <c r="N126" s="81" t="s">
        <v>268</v>
      </c>
      <c r="O126" s="64"/>
    </row>
    <row r="127" spans="2:15" ht="15" thickBot="1" x14ac:dyDescent="0.35"/>
    <row r="128" spans="2:15" x14ac:dyDescent="0.3">
      <c r="B128" s="120" t="s">
        <v>214</v>
      </c>
      <c r="C128" s="226"/>
      <c r="D128" s="226"/>
      <c r="E128" s="226"/>
      <c r="F128" s="226"/>
      <c r="G128" s="226"/>
      <c r="H128" s="226"/>
      <c r="I128" s="226"/>
      <c r="J128" s="226"/>
      <c r="K128" s="243"/>
      <c r="L128" s="60"/>
      <c r="M128" s="60"/>
      <c r="N128" s="60"/>
      <c r="O128" s="64"/>
    </row>
    <row r="129" spans="1:15" x14ac:dyDescent="0.3">
      <c r="B129" s="63" t="s">
        <v>291</v>
      </c>
      <c r="C129" s="60"/>
      <c r="D129" s="60"/>
      <c r="E129" s="60"/>
      <c r="F129" s="60"/>
      <c r="G129" s="60"/>
      <c r="H129" s="60"/>
      <c r="I129" s="60"/>
      <c r="J129" s="11">
        <f>IF(B8, 280, 280/1.19)</f>
        <v>280</v>
      </c>
      <c r="K129" s="87" t="s">
        <v>99</v>
      </c>
      <c r="L129" s="60"/>
      <c r="M129" s="60"/>
      <c r="N129" s="60"/>
      <c r="O129" s="60"/>
    </row>
    <row r="130" spans="1:15" x14ac:dyDescent="0.3">
      <c r="B130" s="63" t="s">
        <v>92</v>
      </c>
      <c r="C130" s="60"/>
      <c r="D130" s="60"/>
      <c r="E130" s="60"/>
      <c r="F130" s="60"/>
      <c r="G130" s="60"/>
      <c r="H130" s="60"/>
      <c r="I130" s="60"/>
      <c r="J130" s="11">
        <f>IF(B8, (5.83*12*(C15-1)), ((5.83*12*(C15-1))/1.19))</f>
        <v>209.88000000000002</v>
      </c>
      <c r="K130" s="87" t="s">
        <v>99</v>
      </c>
      <c r="L130" s="60"/>
      <c r="M130" s="60"/>
      <c r="N130" s="60"/>
      <c r="O130" s="60"/>
    </row>
    <row r="131" spans="1:15" x14ac:dyDescent="0.3">
      <c r="B131" s="63" t="s">
        <v>93</v>
      </c>
      <c r="C131" s="60"/>
      <c r="D131" s="60"/>
      <c r="E131" s="60"/>
      <c r="F131" s="60"/>
      <c r="G131" s="60"/>
      <c r="H131" s="60"/>
      <c r="I131" s="60"/>
      <c r="J131" s="11">
        <f>IF(B8, 152, (152/1.19))</f>
        <v>152</v>
      </c>
      <c r="K131" s="87" t="s">
        <v>99</v>
      </c>
      <c r="L131" s="60"/>
      <c r="M131" s="60"/>
      <c r="N131" s="60"/>
      <c r="O131" s="60"/>
    </row>
    <row r="132" spans="1:15" x14ac:dyDescent="0.3">
      <c r="B132" s="63" t="s">
        <v>226</v>
      </c>
      <c r="C132" s="60"/>
      <c r="D132" s="60"/>
      <c r="E132" s="60"/>
      <c r="F132" s="60"/>
      <c r="G132" s="60"/>
      <c r="H132" s="60"/>
      <c r="I132" s="60"/>
      <c r="J132" s="11">
        <f>IF(B8, 611.4, (611.4/1.19))</f>
        <v>611.4</v>
      </c>
      <c r="K132" s="87" t="s">
        <v>99</v>
      </c>
      <c r="L132" s="60"/>
      <c r="M132" s="60"/>
      <c r="N132" s="60"/>
      <c r="O132" s="60"/>
    </row>
    <row r="133" spans="1:15" x14ac:dyDescent="0.3">
      <c r="B133" s="63" t="s">
        <v>227</v>
      </c>
      <c r="C133" s="60"/>
      <c r="D133" s="60"/>
      <c r="E133" s="60"/>
      <c r="F133" s="60"/>
      <c r="G133" s="60"/>
      <c r="H133" s="60"/>
      <c r="I133" s="60"/>
      <c r="J133" s="11">
        <f>IF(B8, 3500, (3500/1.19))</f>
        <v>3500</v>
      </c>
      <c r="K133" s="87" t="s">
        <v>99</v>
      </c>
      <c r="L133" s="60"/>
      <c r="M133" s="60"/>
      <c r="N133" s="60"/>
      <c r="O133" s="60"/>
    </row>
    <row r="134" spans="1:15" x14ac:dyDescent="0.3">
      <c r="B134" s="63" t="s">
        <v>94</v>
      </c>
      <c r="C134" s="60"/>
      <c r="D134" s="60"/>
      <c r="E134" s="60"/>
      <c r="F134" s="60"/>
      <c r="G134" s="60"/>
      <c r="H134" s="60"/>
      <c r="I134" s="60"/>
      <c r="J134" s="11">
        <f>IF(B8, (109+230+147), ((109+230+147)/1.19))</f>
        <v>486</v>
      </c>
      <c r="K134" s="87" t="s">
        <v>99</v>
      </c>
      <c r="L134" s="60"/>
      <c r="M134" s="60"/>
      <c r="N134" s="60"/>
      <c r="O134" s="60"/>
    </row>
    <row r="135" spans="1:15" x14ac:dyDescent="0.3">
      <c r="B135" s="63" t="s">
        <v>95</v>
      </c>
      <c r="C135" s="60"/>
      <c r="D135" s="60"/>
      <c r="E135" s="60"/>
      <c r="F135" s="60"/>
      <c r="G135" s="60"/>
      <c r="H135" s="60"/>
      <c r="I135" s="60"/>
      <c r="J135" s="11">
        <v>215</v>
      </c>
      <c r="K135" s="87" t="s">
        <v>99</v>
      </c>
      <c r="L135" s="60"/>
      <c r="M135" s="60"/>
      <c r="N135" s="60"/>
      <c r="O135" s="60"/>
    </row>
    <row r="136" spans="1:15" x14ac:dyDescent="0.3">
      <c r="B136" s="231" t="s">
        <v>228</v>
      </c>
      <c r="C136" s="229"/>
      <c r="D136" s="60"/>
      <c r="E136" s="60"/>
      <c r="F136" s="60"/>
      <c r="G136" s="60"/>
      <c r="H136" s="60"/>
      <c r="I136" s="229"/>
      <c r="J136" s="75">
        <v>0</v>
      </c>
      <c r="K136" s="254" t="s">
        <v>99</v>
      </c>
      <c r="L136" s="60"/>
      <c r="M136" s="60"/>
      <c r="N136" s="60"/>
      <c r="O136" s="60"/>
    </row>
    <row r="137" spans="1:15" x14ac:dyDescent="0.3">
      <c r="B137" s="63" t="s">
        <v>70</v>
      </c>
      <c r="C137" s="60"/>
      <c r="D137" s="60"/>
      <c r="E137" s="60"/>
      <c r="F137" s="60"/>
      <c r="G137" s="60"/>
      <c r="H137" s="60"/>
      <c r="I137" s="70"/>
      <c r="J137" s="71">
        <f>SUM(J129:J136)</f>
        <v>5454.28</v>
      </c>
      <c r="K137" s="62" t="s">
        <v>99</v>
      </c>
      <c r="L137" s="60"/>
      <c r="M137" s="60"/>
      <c r="N137" s="60"/>
      <c r="O137" s="60"/>
    </row>
    <row r="138" spans="1:15" ht="15" thickBot="1" x14ac:dyDescent="0.35">
      <c r="B138" s="233" t="s">
        <v>216</v>
      </c>
      <c r="C138" s="225"/>
      <c r="D138" s="225"/>
      <c r="E138" s="225"/>
      <c r="F138" s="225"/>
      <c r="G138" s="225"/>
      <c r="H138" s="225"/>
      <c r="I138" s="76">
        <v>0.1</v>
      </c>
      <c r="J138" s="121">
        <f>J137*I138</f>
        <v>545.428</v>
      </c>
      <c r="K138" s="122" t="s">
        <v>99</v>
      </c>
      <c r="L138" s="60"/>
      <c r="M138" s="107">
        <f>J138/'2) Angaben DB'!D17</f>
        <v>0.40187739463601529</v>
      </c>
      <c r="N138" s="81" t="s">
        <v>268</v>
      </c>
      <c r="O138" s="60"/>
    </row>
    <row r="139" spans="1:15" x14ac:dyDescent="0.3">
      <c r="B139" s="60"/>
      <c r="C139" s="60"/>
      <c r="D139" s="60"/>
      <c r="E139" s="60"/>
      <c r="F139" s="60"/>
      <c r="G139" s="60"/>
      <c r="H139" s="60"/>
      <c r="I139" s="60"/>
      <c r="J139" s="60"/>
      <c r="K139" s="60"/>
      <c r="L139" s="60"/>
      <c r="M139" s="60"/>
      <c r="N139" s="60"/>
      <c r="O139" s="60"/>
    </row>
    <row r="140" spans="1:15" x14ac:dyDescent="0.3">
      <c r="B140" s="49"/>
      <c r="C140" s="49"/>
      <c r="D140" s="49"/>
      <c r="E140" s="49"/>
      <c r="F140" s="49"/>
    </row>
    <row r="141" spans="1:15" x14ac:dyDescent="0.3">
      <c r="B141" s="49" t="s">
        <v>215</v>
      </c>
      <c r="C141" s="49"/>
      <c r="D141" s="49"/>
      <c r="J141" s="99">
        <f>E94</f>
        <v>13371.912466</v>
      </c>
      <c r="K141" s="49" t="s">
        <v>99</v>
      </c>
    </row>
    <row r="142" spans="1:15" x14ac:dyDescent="0.3">
      <c r="A142" s="255" t="s">
        <v>73</v>
      </c>
      <c r="B142" s="49" t="str">
        <f>B103</f>
        <v>Investitionskosten</v>
      </c>
      <c r="C142" s="49"/>
      <c r="D142" s="49"/>
      <c r="J142" s="99">
        <f>J119</f>
        <v>1822.5</v>
      </c>
      <c r="K142" s="49" t="s">
        <v>99</v>
      </c>
    </row>
    <row r="143" spans="1:15" x14ac:dyDescent="0.3">
      <c r="A143" s="255" t="s">
        <v>73</v>
      </c>
      <c r="B143" s="49" t="str">
        <f>B121</f>
        <v>Personalkosten Arbeiten festangestellte AK</v>
      </c>
      <c r="C143" s="49"/>
      <c r="D143" s="49"/>
      <c r="J143" s="99">
        <f>J126</f>
        <v>0</v>
      </c>
      <c r="K143" s="49" t="s">
        <v>99</v>
      </c>
    </row>
    <row r="144" spans="1:15" ht="15" thickBot="1" x14ac:dyDescent="0.35">
      <c r="A144" s="255" t="s">
        <v>73</v>
      </c>
      <c r="B144" s="49" t="str">
        <f>B128</f>
        <v>Sonstige Festkosten</v>
      </c>
      <c r="C144" s="49"/>
      <c r="D144" s="49"/>
      <c r="J144" s="99">
        <f>J137*0.1</f>
        <v>545.428</v>
      </c>
      <c r="K144" s="49" t="s">
        <v>99</v>
      </c>
    </row>
    <row r="145" spans="1:14" ht="15" thickBot="1" x14ac:dyDescent="0.35">
      <c r="A145" s="255" t="s">
        <v>74</v>
      </c>
      <c r="B145" s="124" t="s">
        <v>274</v>
      </c>
      <c r="C145" s="125"/>
      <c r="D145" s="125"/>
      <c r="E145" s="125"/>
      <c r="F145" s="125"/>
      <c r="G145" s="125"/>
      <c r="H145" s="125"/>
      <c r="I145" s="125"/>
      <c r="J145" s="284">
        <f>J141-J142-J143-J144</f>
        <v>11003.984466</v>
      </c>
      <c r="K145" s="127" t="s">
        <v>99</v>
      </c>
      <c r="M145" s="128">
        <f>J145/'2) Angaben DB'!D17</f>
        <v>8.1078576967285585</v>
      </c>
      <c r="N145" s="138" t="s">
        <v>268</v>
      </c>
    </row>
    <row r="146" spans="1:14" ht="15" thickBot="1" x14ac:dyDescent="0.35">
      <c r="G146" s="57"/>
      <c r="J146" s="70"/>
    </row>
    <row r="147" spans="1:14" ht="15" thickBot="1" x14ac:dyDescent="0.35">
      <c r="A147" s="261" t="s">
        <v>73</v>
      </c>
      <c r="B147" s="134" t="s">
        <v>236</v>
      </c>
      <c r="C147" s="226"/>
      <c r="D147" s="226"/>
      <c r="E147" s="226"/>
      <c r="F147" s="226"/>
      <c r="G147" s="226"/>
      <c r="H147" s="226"/>
      <c r="I147" s="226"/>
      <c r="J147" s="226"/>
      <c r="K147" s="243"/>
    </row>
    <row r="148" spans="1:14" x14ac:dyDescent="0.3">
      <c r="B148" s="63" t="s">
        <v>100</v>
      </c>
      <c r="C148" s="60"/>
      <c r="D148" s="60"/>
      <c r="E148" s="60"/>
      <c r="F148" s="60"/>
      <c r="G148" s="60"/>
      <c r="H148" s="60"/>
      <c r="I148" s="60"/>
      <c r="J148" s="60"/>
      <c r="K148" s="87"/>
    </row>
    <row r="149" spans="1:14" x14ac:dyDescent="0.3">
      <c r="B149" s="63"/>
      <c r="C149" s="60"/>
      <c r="D149" s="60"/>
      <c r="E149" s="60"/>
      <c r="F149" s="60"/>
      <c r="G149" s="60"/>
      <c r="H149" s="60"/>
      <c r="I149" s="60"/>
      <c r="J149" s="60"/>
      <c r="K149" s="87"/>
    </row>
    <row r="150" spans="1:14" x14ac:dyDescent="0.3">
      <c r="B150" s="389" t="s">
        <v>101</v>
      </c>
      <c r="C150" s="56">
        <v>3.3000000000000002E-2</v>
      </c>
      <c r="D150" s="60" t="s">
        <v>98</v>
      </c>
      <c r="E150" s="60"/>
      <c r="F150" s="61"/>
      <c r="G150" s="61"/>
      <c r="H150" s="60"/>
      <c r="I150" s="60"/>
      <c r="J150" s="390">
        <f>C150*0.5*((G107*F107)+(F112*G112))</f>
        <v>123.75</v>
      </c>
      <c r="K150" s="391" t="s">
        <v>99</v>
      </c>
      <c r="M150" s="128">
        <f>J150/'2) Angaben DB'!D17</f>
        <v>9.1180371352785144E-2</v>
      </c>
      <c r="N150" s="138" t="s">
        <v>268</v>
      </c>
    </row>
    <row r="151" spans="1:14" x14ac:dyDescent="0.3">
      <c r="B151" s="101"/>
      <c r="C151" s="70"/>
      <c r="D151" s="70"/>
      <c r="E151" s="60"/>
      <c r="F151" s="60"/>
      <c r="G151" s="60"/>
      <c r="H151" s="60"/>
      <c r="I151" s="60"/>
      <c r="J151" s="392"/>
      <c r="K151" s="62"/>
    </row>
    <row r="152" spans="1:14" x14ac:dyDescent="0.3">
      <c r="B152" s="389" t="s">
        <v>102</v>
      </c>
      <c r="C152" s="70"/>
      <c r="D152" s="70"/>
      <c r="E152" s="60"/>
      <c r="F152" s="60"/>
      <c r="G152" s="60"/>
      <c r="H152" s="60"/>
      <c r="I152" s="60"/>
      <c r="J152" s="60"/>
      <c r="K152" s="87"/>
    </row>
    <row r="153" spans="1:14" x14ac:dyDescent="0.3">
      <c r="B153" s="63" t="s">
        <v>235</v>
      </c>
      <c r="C153" s="236">
        <f>C80</f>
        <v>497.22383999999994</v>
      </c>
      <c r="D153" s="60"/>
      <c r="E153" s="60"/>
      <c r="F153" s="60"/>
      <c r="G153" s="60"/>
      <c r="H153" s="60"/>
      <c r="I153" s="60"/>
      <c r="J153" s="60"/>
      <c r="K153" s="87"/>
    </row>
    <row r="154" spans="1:14" x14ac:dyDescent="0.3">
      <c r="B154" s="63" t="s">
        <v>310</v>
      </c>
      <c r="C154" s="256">
        <f>1-C83-C124</f>
        <v>1</v>
      </c>
      <c r="D154" s="60" t="s">
        <v>232</v>
      </c>
      <c r="E154" s="60"/>
      <c r="F154" s="60"/>
      <c r="G154" s="60"/>
      <c r="H154" s="60"/>
      <c r="I154" s="60"/>
      <c r="J154" s="60"/>
      <c r="K154" s="87"/>
    </row>
    <row r="155" spans="1:14" x14ac:dyDescent="0.3">
      <c r="B155" s="63" t="s">
        <v>102</v>
      </c>
      <c r="C155" s="383">
        <v>24</v>
      </c>
      <c r="D155" s="60" t="s">
        <v>135</v>
      </c>
      <c r="E155" s="60"/>
      <c r="F155" s="60"/>
      <c r="G155" s="60"/>
      <c r="H155" s="60"/>
      <c r="I155" s="60"/>
      <c r="J155" s="393">
        <f>C153*C154*C155</f>
        <v>11933.372159999999</v>
      </c>
      <c r="K155" s="391" t="s">
        <v>99</v>
      </c>
      <c r="M155" s="128">
        <f>J155/'2) Angaben DB'!D17</f>
        <v>8.7926408488063643</v>
      </c>
      <c r="N155" s="138" t="s">
        <v>268</v>
      </c>
    </row>
    <row r="156" spans="1:14" x14ac:dyDescent="0.3">
      <c r="B156" s="63"/>
      <c r="C156" s="84"/>
      <c r="D156" s="60"/>
      <c r="E156" s="60"/>
      <c r="F156" s="60"/>
      <c r="G156" s="60"/>
      <c r="H156" s="60"/>
      <c r="I156" s="60"/>
      <c r="J156" s="60"/>
      <c r="K156" s="87"/>
    </row>
    <row r="157" spans="1:14" ht="15" thickBot="1" x14ac:dyDescent="0.35">
      <c r="B157" s="123" t="s">
        <v>103</v>
      </c>
      <c r="C157" s="56">
        <v>3.3000000000000002E-2</v>
      </c>
      <c r="D157" s="394"/>
      <c r="E157" s="225"/>
      <c r="F157" s="225"/>
      <c r="G157" s="225"/>
      <c r="H157" s="225"/>
      <c r="I157" s="225"/>
      <c r="J157" s="395">
        <v>0</v>
      </c>
      <c r="K157" s="396" t="s">
        <v>99</v>
      </c>
      <c r="M157" s="128">
        <f>J157/'2) Angaben DB'!D17</f>
        <v>0</v>
      </c>
      <c r="N157" s="138" t="s">
        <v>268</v>
      </c>
    </row>
    <row r="158" spans="1:14" x14ac:dyDescent="0.3">
      <c r="B158" s="28"/>
      <c r="C158" s="28"/>
      <c r="D158" s="28"/>
      <c r="J158" s="58"/>
      <c r="K158" s="28"/>
    </row>
    <row r="159" spans="1:14" ht="15" thickBot="1" x14ac:dyDescent="0.35">
      <c r="H159" s="28"/>
    </row>
    <row r="160" spans="1:14" ht="15" thickBot="1" x14ac:dyDescent="0.35">
      <c r="A160" s="83" t="s">
        <v>74</v>
      </c>
      <c r="B160" s="129" t="s">
        <v>223</v>
      </c>
      <c r="C160" s="257"/>
      <c r="D160" s="257"/>
      <c r="E160" s="257"/>
      <c r="F160" s="257"/>
      <c r="G160" s="257"/>
      <c r="H160" s="257"/>
      <c r="I160" s="257"/>
      <c r="J160" s="130">
        <f>J145-J150-J155</f>
        <v>-1053.1376939999991</v>
      </c>
      <c r="K160" s="131" t="s">
        <v>99</v>
      </c>
      <c r="M160" s="128">
        <f>J160/'2) Angaben DB'!D17</f>
        <v>-0.77596352343059172</v>
      </c>
      <c r="N160" s="138" t="s">
        <v>268</v>
      </c>
    </row>
    <row r="161" spans="2:14" x14ac:dyDescent="0.3">
      <c r="B161" s="83" t="s">
        <v>104</v>
      </c>
    </row>
    <row r="162" spans="2:14" ht="15" thickBot="1" x14ac:dyDescent="0.35"/>
    <row r="163" spans="2:14" ht="15" thickBot="1" x14ac:dyDescent="0.35">
      <c r="B163" s="132" t="s">
        <v>224</v>
      </c>
      <c r="C163" s="257"/>
      <c r="D163" s="257"/>
      <c r="E163" s="257"/>
      <c r="F163" s="257"/>
      <c r="G163" s="257"/>
      <c r="H163" s="257"/>
      <c r="I163" s="257"/>
      <c r="J163" s="133">
        <f>J160/(C153*C154)</f>
        <v>-2.1180353983027027</v>
      </c>
      <c r="K163" s="131" t="s">
        <v>106</v>
      </c>
      <c r="M163" s="128">
        <f>J163/'2) Angaben DB'!D17</f>
        <v>-1.560591952772401E-3</v>
      </c>
      <c r="N163" s="138" t="s">
        <v>268</v>
      </c>
    </row>
    <row r="164" spans="2:14" x14ac:dyDescent="0.3">
      <c r="B164" s="83" t="s">
        <v>105</v>
      </c>
    </row>
    <row r="165" spans="2:14" ht="15" thickBot="1" x14ac:dyDescent="0.35">
      <c r="H165" s="258"/>
    </row>
    <row r="166" spans="2:14" x14ac:dyDescent="0.3">
      <c r="B166" s="310" t="s">
        <v>219</v>
      </c>
      <c r="C166" s="311"/>
      <c r="D166" s="311"/>
      <c r="E166" s="311"/>
      <c r="F166" s="312"/>
      <c r="G166" s="60"/>
      <c r="H166" s="29"/>
      <c r="J166" s="27"/>
      <c r="K166" s="60"/>
    </row>
    <row r="167" spans="2:14" x14ac:dyDescent="0.3">
      <c r="B167" s="387" t="s">
        <v>265</v>
      </c>
      <c r="C167" s="307"/>
      <c r="D167" s="309"/>
      <c r="E167" s="313">
        <f>H92</f>
        <v>5.747426712348954</v>
      </c>
      <c r="F167" s="314" t="s">
        <v>268</v>
      </c>
      <c r="G167" s="60"/>
      <c r="H167" s="36"/>
      <c r="J167" s="61"/>
    </row>
    <row r="168" spans="2:14" x14ac:dyDescent="0.3">
      <c r="B168" s="387" t="s">
        <v>266</v>
      </c>
      <c r="C168" s="308"/>
      <c r="D168" s="309"/>
      <c r="E168" s="313">
        <f>H92+M119+M126+M138</f>
        <v>7.4921423032714412</v>
      </c>
      <c r="F168" s="314" t="s">
        <v>268</v>
      </c>
      <c r="G168" s="73"/>
      <c r="H168" s="36"/>
      <c r="J168" s="61"/>
    </row>
    <row r="169" spans="2:14" ht="15" thickBot="1" x14ac:dyDescent="0.35">
      <c r="B169" s="388" t="s">
        <v>267</v>
      </c>
      <c r="C169" s="315"/>
      <c r="D169" s="315"/>
      <c r="E169" s="316">
        <f>H92+M119+M126+M138+M150+M155+M157</f>
        <v>16.375963523430592</v>
      </c>
      <c r="F169" s="317" t="s">
        <v>268</v>
      </c>
      <c r="G169" s="60"/>
      <c r="H169" s="36"/>
      <c r="J169" s="61"/>
    </row>
    <row r="170" spans="2:14" x14ac:dyDescent="0.3">
      <c r="C170" s="60"/>
      <c r="D170" s="60"/>
      <c r="E170" s="60"/>
      <c r="F170" s="60"/>
      <c r="G170" s="72"/>
      <c r="H170" s="36"/>
      <c r="I170" s="61"/>
    </row>
    <row r="171" spans="2:14" x14ac:dyDescent="0.3">
      <c r="B171" s="248"/>
      <c r="C171" s="248"/>
      <c r="D171" s="248"/>
      <c r="E171" s="248"/>
      <c r="F171" s="248"/>
      <c r="G171" s="248"/>
      <c r="H171" s="61"/>
      <c r="I171" s="61"/>
    </row>
    <row r="172" spans="2:14" x14ac:dyDescent="0.3">
      <c r="B172" s="248"/>
      <c r="C172" s="259"/>
      <c r="D172" s="260"/>
      <c r="E172" s="248"/>
      <c r="F172" s="10"/>
      <c r="G172" s="72"/>
      <c r="H172" s="61"/>
      <c r="I172" s="61"/>
    </row>
    <row r="173" spans="2:14" x14ac:dyDescent="0.3">
      <c r="B173" s="61"/>
      <c r="C173" s="61"/>
      <c r="D173" s="61"/>
      <c r="E173" s="61"/>
      <c r="F173" s="61"/>
      <c r="G173" s="61"/>
      <c r="H173" s="61"/>
      <c r="I173" s="61"/>
    </row>
    <row r="174" spans="2:14" x14ac:dyDescent="0.3">
      <c r="B174" s="61"/>
      <c r="C174" s="61"/>
      <c r="D174" s="61"/>
      <c r="E174" s="61"/>
      <c r="F174" s="61"/>
      <c r="G174" s="61"/>
      <c r="H174" s="61"/>
      <c r="I174" s="61"/>
    </row>
    <row r="175" spans="2:14" x14ac:dyDescent="0.3">
      <c r="B175" s="61"/>
      <c r="C175" s="61"/>
      <c r="D175" s="61"/>
      <c r="E175" s="61"/>
      <c r="F175" s="61"/>
      <c r="G175" s="61"/>
      <c r="H175" s="61"/>
      <c r="I175" s="61"/>
    </row>
    <row r="176" spans="2:14" x14ac:dyDescent="0.3">
      <c r="B176" s="61"/>
      <c r="C176" s="73"/>
      <c r="D176" s="73"/>
      <c r="E176" s="73"/>
      <c r="F176" s="73"/>
      <c r="G176" s="74"/>
      <c r="H176" s="74"/>
      <c r="I176" s="61"/>
    </row>
    <row r="177" spans="1:9" x14ac:dyDescent="0.3">
      <c r="A177" s="28" t="s">
        <v>345</v>
      </c>
      <c r="B177" s="261"/>
      <c r="C177" s="73"/>
      <c r="D177" s="73"/>
      <c r="E177" s="73"/>
      <c r="F177" s="73"/>
      <c r="G177" s="74"/>
      <c r="H177" s="74"/>
      <c r="I177" s="61"/>
    </row>
    <row r="178" spans="1:9" x14ac:dyDescent="0.3">
      <c r="B178" s="261"/>
      <c r="C178" s="73"/>
      <c r="D178" s="73"/>
      <c r="E178" s="73"/>
      <c r="F178" s="73"/>
      <c r="G178" s="72"/>
      <c r="H178" s="72"/>
      <c r="I178" s="61"/>
    </row>
    <row r="179" spans="1:9" x14ac:dyDescent="0.3">
      <c r="B179" s="261"/>
      <c r="C179" s="61"/>
      <c r="D179" s="61"/>
      <c r="E179" s="61"/>
      <c r="F179" s="61"/>
      <c r="G179" s="61"/>
      <c r="H179" s="61"/>
      <c r="I179" s="61"/>
    </row>
    <row r="180" spans="1:9" x14ac:dyDescent="0.3">
      <c r="B180" s="261"/>
      <c r="C180" s="73"/>
      <c r="D180" s="61"/>
      <c r="E180" s="61"/>
      <c r="F180" s="61"/>
      <c r="G180" s="72"/>
      <c r="H180" s="72"/>
      <c r="I180" s="61"/>
    </row>
    <row r="181" spans="1:9" x14ac:dyDescent="0.3">
      <c r="B181" s="61"/>
      <c r="C181" s="61"/>
      <c r="D181" s="61"/>
      <c r="E181" s="61"/>
      <c r="F181" s="61"/>
      <c r="G181" s="61"/>
      <c r="H181" s="61"/>
      <c r="I181" s="61"/>
    </row>
    <row r="182" spans="1:9" x14ac:dyDescent="0.3">
      <c r="B182" s="61"/>
      <c r="C182" s="61"/>
      <c r="D182" s="61"/>
      <c r="E182" s="61"/>
      <c r="F182" s="61"/>
      <c r="G182" s="61"/>
      <c r="H182" s="61"/>
      <c r="I182" s="61"/>
    </row>
    <row r="185" spans="1:9" x14ac:dyDescent="0.3">
      <c r="B185" s="28"/>
    </row>
    <row r="186" spans="1:9" x14ac:dyDescent="0.3">
      <c r="C186" s="8"/>
    </row>
    <row r="192" spans="1:9" x14ac:dyDescent="0.3">
      <c r="B192" s="28"/>
    </row>
  </sheetData>
  <sheetProtection algorithmName="SHA-512" hashValue="k6ChuIfYWXdMC0DLcXbhsBEo2sfo4EFPOccXKp6O6DXX9er5YKWbmZ2OpP32tuD7V1IJbAMwT2ykQCjt9TwWqQ==" saltValue="x9SspiHmnkRgoQx02alN4A==" spinCount="100000" sheet="1" selectLockedCells="1"/>
  <mergeCells count="11">
    <mergeCell ref="B9:B11"/>
    <mergeCell ref="C9:C11"/>
    <mergeCell ref="C88:C89"/>
    <mergeCell ref="D103:D104"/>
    <mergeCell ref="C71:D71"/>
    <mergeCell ref="D9:D11"/>
    <mergeCell ref="F24:F25"/>
    <mergeCell ref="E9:E10"/>
    <mergeCell ref="H9:H10"/>
    <mergeCell ref="F9:F11"/>
    <mergeCell ref="G9:G10"/>
  </mergeCells>
  <pageMargins left="0.23622047244094491" right="0.23622047244094491" top="0.74803149606299213" bottom="0.74803149606299213" header="0.31496062992125984" footer="0.31496062992125984"/>
  <pageSetup paperSize="9" scale="50" fitToHeight="2" orientation="portrait" horizontalDpi="300" r:id="rId1"/>
  <ignoredErrors>
    <ignoredError sqref="B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1249680</xdr:colOff>
                    <xdr:row>6</xdr:row>
                    <xdr:rowOff>137160</xdr:rowOff>
                  </from>
                  <to>
                    <xdr:col>1</xdr:col>
                    <xdr:colOff>1516380</xdr:colOff>
                    <xdr:row>7</xdr:row>
                    <xdr:rowOff>175260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90A5-401D-453C-99EE-46F2C44DF012}">
  <dimension ref="A1:O80"/>
  <sheetViews>
    <sheetView topLeftCell="A7" zoomScale="80" zoomScaleNormal="80" workbookViewId="0">
      <selection activeCell="F39" sqref="F39"/>
    </sheetView>
  </sheetViews>
  <sheetFormatPr baseColWidth="10" defaultRowHeight="14.4" x14ac:dyDescent="0.3"/>
  <cols>
    <col min="1" max="1" width="16.6640625" customWidth="1"/>
    <col min="4" max="5" width="12.6640625" customWidth="1"/>
    <col min="6" max="7" width="12" customWidth="1"/>
  </cols>
  <sheetData>
    <row r="1" spans="1:8" x14ac:dyDescent="0.3">
      <c r="A1" s="330" t="s">
        <v>143</v>
      </c>
      <c r="B1" s="321"/>
      <c r="C1" s="321"/>
      <c r="D1" s="321"/>
      <c r="E1" s="321"/>
      <c r="F1" s="321"/>
      <c r="G1" s="321"/>
      <c r="H1" s="322"/>
    </row>
    <row r="2" spans="1:8" x14ac:dyDescent="0.3">
      <c r="A2" s="323" t="s">
        <v>144</v>
      </c>
      <c r="B2" s="324"/>
      <c r="C2" s="324"/>
      <c r="D2" s="324"/>
      <c r="E2" s="324"/>
      <c r="F2" s="324"/>
      <c r="G2" s="324"/>
      <c r="H2" s="325"/>
    </row>
    <row r="3" spans="1:8" x14ac:dyDescent="0.3">
      <c r="A3" s="323" t="s">
        <v>145</v>
      </c>
      <c r="B3" s="324"/>
      <c r="C3" s="324"/>
      <c r="D3" s="324"/>
      <c r="E3" s="324"/>
      <c r="F3" s="324"/>
      <c r="G3" s="324"/>
      <c r="H3" s="325"/>
    </row>
    <row r="4" spans="1:8" x14ac:dyDescent="0.3">
      <c r="A4" s="323" t="s">
        <v>146</v>
      </c>
      <c r="B4" s="324"/>
      <c r="C4" s="324"/>
      <c r="D4" s="324"/>
      <c r="E4" s="324"/>
      <c r="F4" s="324"/>
      <c r="G4" s="324"/>
      <c r="H4" s="325"/>
    </row>
    <row r="5" spans="1:8" x14ac:dyDescent="0.3">
      <c r="A5" s="323"/>
      <c r="B5" s="324"/>
      <c r="C5" s="324"/>
      <c r="D5" s="324"/>
      <c r="E5" s="324"/>
      <c r="F5" s="324"/>
      <c r="G5" s="324"/>
      <c r="H5" s="325"/>
    </row>
    <row r="6" spans="1:8" x14ac:dyDescent="0.3">
      <c r="A6" s="323" t="s">
        <v>295</v>
      </c>
      <c r="B6" s="324"/>
      <c r="C6" s="324"/>
      <c r="D6" s="324"/>
      <c r="E6" s="324"/>
      <c r="F6" s="324"/>
      <c r="G6" s="324"/>
      <c r="H6" s="325"/>
    </row>
    <row r="7" spans="1:8" x14ac:dyDescent="0.3">
      <c r="A7" s="323"/>
      <c r="B7" s="324"/>
      <c r="C7" s="324"/>
      <c r="D7" s="324"/>
      <c r="E7" s="324"/>
      <c r="F7" s="324"/>
      <c r="G7" s="324"/>
      <c r="H7" s="325"/>
    </row>
    <row r="8" spans="1:8" x14ac:dyDescent="0.3">
      <c r="A8" s="323" t="s">
        <v>296</v>
      </c>
      <c r="B8" s="324"/>
      <c r="C8" s="324"/>
      <c r="D8" s="324"/>
      <c r="E8" s="324"/>
      <c r="F8" s="324"/>
      <c r="G8" s="324"/>
      <c r="H8" s="325"/>
    </row>
    <row r="9" spans="1:8" x14ac:dyDescent="0.3">
      <c r="A9" s="323" t="s">
        <v>147</v>
      </c>
      <c r="B9" s="324"/>
      <c r="C9" s="324"/>
      <c r="D9" s="324"/>
      <c r="E9" s="324"/>
      <c r="F9" s="324"/>
      <c r="G9" s="324"/>
      <c r="H9" s="325"/>
    </row>
    <row r="10" spans="1:8" x14ac:dyDescent="0.3">
      <c r="A10" s="323"/>
      <c r="B10" s="324"/>
      <c r="C10" s="324"/>
      <c r="D10" s="324"/>
      <c r="E10" s="324"/>
      <c r="F10" s="324"/>
      <c r="G10" s="324"/>
      <c r="H10" s="325"/>
    </row>
    <row r="11" spans="1:8" x14ac:dyDescent="0.3">
      <c r="A11" s="323" t="s">
        <v>297</v>
      </c>
      <c r="B11" s="324"/>
      <c r="C11" s="324"/>
      <c r="D11" s="324"/>
      <c r="E11" s="324"/>
      <c r="F11" s="324"/>
      <c r="G11" s="324"/>
      <c r="H11" s="325"/>
    </row>
    <row r="12" spans="1:8" x14ac:dyDescent="0.3">
      <c r="A12" s="323"/>
      <c r="B12" s="324"/>
      <c r="C12" s="324"/>
      <c r="D12" s="324"/>
      <c r="E12" s="324"/>
      <c r="F12" s="324"/>
      <c r="G12" s="324"/>
      <c r="H12" s="325"/>
    </row>
    <row r="13" spans="1:8" x14ac:dyDescent="0.3">
      <c r="A13" s="326" t="s">
        <v>148</v>
      </c>
      <c r="B13" s="324"/>
      <c r="C13" s="324"/>
      <c r="D13" s="324"/>
      <c r="E13" s="324"/>
      <c r="F13" s="324"/>
      <c r="G13" s="324"/>
      <c r="H13" s="325"/>
    </row>
    <row r="14" spans="1:8" x14ac:dyDescent="0.3">
      <c r="A14" s="323"/>
      <c r="B14" s="324"/>
      <c r="C14" s="324"/>
      <c r="D14" s="324"/>
      <c r="E14" s="324"/>
      <c r="F14" s="324"/>
      <c r="G14" s="324"/>
      <c r="H14" s="325"/>
    </row>
    <row r="15" spans="1:8" x14ac:dyDescent="0.3">
      <c r="A15" s="326" t="s">
        <v>149</v>
      </c>
      <c r="B15" s="324"/>
      <c r="C15" s="324"/>
      <c r="D15" s="324"/>
      <c r="E15" s="324"/>
      <c r="F15" s="324"/>
      <c r="G15" s="324"/>
      <c r="H15" s="325"/>
    </row>
    <row r="16" spans="1:8" x14ac:dyDescent="0.3">
      <c r="A16" s="323" t="s">
        <v>150</v>
      </c>
      <c r="B16" s="324"/>
      <c r="C16" s="324"/>
      <c r="D16" s="324"/>
      <c r="E16" s="324"/>
      <c r="F16" s="324"/>
      <c r="G16" s="324"/>
      <c r="H16" s="325"/>
    </row>
    <row r="17" spans="1:15" x14ac:dyDescent="0.3">
      <c r="A17" s="323"/>
      <c r="B17" s="324"/>
      <c r="C17" s="324"/>
      <c r="D17" s="324"/>
      <c r="E17" s="324"/>
      <c r="F17" s="324"/>
      <c r="G17" s="324"/>
      <c r="H17" s="325"/>
    </row>
    <row r="18" spans="1:15" x14ac:dyDescent="0.3">
      <c r="A18" s="323" t="s">
        <v>298</v>
      </c>
      <c r="B18" s="324"/>
      <c r="C18" s="324"/>
      <c r="D18" s="324"/>
      <c r="E18" s="324"/>
      <c r="F18" s="324"/>
      <c r="G18" s="324"/>
      <c r="H18" s="325"/>
    </row>
    <row r="19" spans="1:15" x14ac:dyDescent="0.3">
      <c r="A19" s="323"/>
      <c r="B19" s="324"/>
      <c r="C19" s="324"/>
      <c r="D19" s="324"/>
      <c r="E19" s="324"/>
      <c r="F19" s="324"/>
      <c r="G19" s="324"/>
      <c r="H19" s="325"/>
    </row>
    <row r="20" spans="1:15" x14ac:dyDescent="0.3">
      <c r="A20" s="326" t="s">
        <v>151</v>
      </c>
      <c r="B20" s="324"/>
      <c r="C20" s="324"/>
      <c r="D20" s="324"/>
      <c r="E20" s="324"/>
      <c r="F20" s="324"/>
      <c r="G20" s="324"/>
      <c r="H20" s="325"/>
    </row>
    <row r="21" spans="1:15" ht="15" thickBot="1" x14ac:dyDescent="0.35">
      <c r="A21" s="327" t="s">
        <v>152</v>
      </c>
      <c r="B21" s="328"/>
      <c r="C21" s="328"/>
      <c r="D21" s="328"/>
      <c r="E21" s="328"/>
      <c r="F21" s="328"/>
      <c r="G21" s="328"/>
      <c r="H21" s="329"/>
    </row>
    <row r="23" spans="1:15" x14ac:dyDescent="0.3">
      <c r="A23" s="68" t="s">
        <v>208</v>
      </c>
    </row>
    <row r="24" spans="1:15" x14ac:dyDescent="0.3">
      <c r="A24" t="s">
        <v>196</v>
      </c>
      <c r="F24" s="8">
        <v>300</v>
      </c>
      <c r="G24" s="8"/>
      <c r="H24" t="s">
        <v>198</v>
      </c>
    </row>
    <row r="25" spans="1:15" x14ac:dyDescent="0.3">
      <c r="A25" t="s">
        <v>195</v>
      </c>
      <c r="F25" s="8">
        <v>500</v>
      </c>
      <c r="G25" s="8"/>
      <c r="H25" t="s">
        <v>197</v>
      </c>
    </row>
    <row r="26" spans="1:15" x14ac:dyDescent="0.3">
      <c r="A26" t="s">
        <v>162</v>
      </c>
      <c r="E26" s="8">
        <v>800</v>
      </c>
      <c r="F26" s="8">
        <v>1000</v>
      </c>
      <c r="G26" s="8"/>
      <c r="H26" t="s">
        <v>163</v>
      </c>
      <c r="O26" t="s">
        <v>167</v>
      </c>
    </row>
    <row r="27" spans="1:15" x14ac:dyDescent="0.3">
      <c r="A27" t="s">
        <v>200</v>
      </c>
      <c r="F27" s="8">
        <v>800</v>
      </c>
      <c r="G27" s="8"/>
      <c r="H27" t="s">
        <v>199</v>
      </c>
    </row>
    <row r="28" spans="1:15" x14ac:dyDescent="0.3">
      <c r="A28" t="s">
        <v>201</v>
      </c>
      <c r="F28" s="8">
        <v>500</v>
      </c>
      <c r="G28" s="8"/>
      <c r="H28" t="s">
        <v>202</v>
      </c>
    </row>
    <row r="29" spans="1:15" x14ac:dyDescent="0.3">
      <c r="A29" t="s">
        <v>161</v>
      </c>
      <c r="F29" s="8">
        <v>2000</v>
      </c>
      <c r="G29" s="8"/>
      <c r="H29" t="s">
        <v>160</v>
      </c>
      <c r="O29" t="s">
        <v>165</v>
      </c>
    </row>
    <row r="30" spans="1:15" x14ac:dyDescent="0.3">
      <c r="A30" t="s">
        <v>153</v>
      </c>
      <c r="E30" s="8">
        <v>1500</v>
      </c>
      <c r="F30" s="8">
        <v>2000</v>
      </c>
      <c r="G30" s="8"/>
      <c r="H30" t="s">
        <v>164</v>
      </c>
      <c r="O30" t="s">
        <v>158</v>
      </c>
    </row>
    <row r="31" spans="1:15" x14ac:dyDescent="0.3">
      <c r="A31" t="s">
        <v>154</v>
      </c>
      <c r="F31" s="8">
        <v>1000</v>
      </c>
      <c r="G31" s="8"/>
      <c r="H31" t="s">
        <v>159</v>
      </c>
      <c r="O31" t="s">
        <v>166</v>
      </c>
    </row>
    <row r="32" spans="1:15" x14ac:dyDescent="0.3">
      <c r="A32" t="s">
        <v>193</v>
      </c>
      <c r="E32" s="8">
        <v>1500</v>
      </c>
      <c r="F32" s="8">
        <v>2000</v>
      </c>
      <c r="G32" s="8"/>
    </row>
    <row r="33" spans="1:8" x14ac:dyDescent="0.3">
      <c r="A33" t="s">
        <v>206</v>
      </c>
      <c r="B33" s="8">
        <v>120</v>
      </c>
      <c r="C33" t="s">
        <v>205</v>
      </c>
      <c r="D33">
        <f>'5) Ergebnis DB ausführlich'!C44</f>
        <v>20</v>
      </c>
      <c r="E33" s="8" t="s">
        <v>121</v>
      </c>
      <c r="F33" s="23">
        <f>B33*D33</f>
        <v>2400</v>
      </c>
    </row>
    <row r="34" spans="1:8" x14ac:dyDescent="0.3">
      <c r="A34" t="s">
        <v>210</v>
      </c>
      <c r="F34" s="23">
        <v>2500</v>
      </c>
    </row>
    <row r="35" spans="1:8" x14ac:dyDescent="0.3">
      <c r="B35" s="8"/>
      <c r="D35" s="67"/>
      <c r="E35" s="8"/>
      <c r="F35" s="23"/>
    </row>
    <row r="36" spans="1:8" x14ac:dyDescent="0.3">
      <c r="D36" s="8"/>
      <c r="E36" s="8"/>
      <c r="F36" s="320">
        <f>SUM(F24:F34)</f>
        <v>15000</v>
      </c>
      <c r="G36" s="23">
        <f>F36/'5) Ergebnis DB ausführlich'!C44</f>
        <v>750</v>
      </c>
      <c r="H36" t="s">
        <v>205</v>
      </c>
    </row>
    <row r="37" spans="1:8" x14ac:dyDescent="0.3">
      <c r="D37" s="8"/>
      <c r="E37" s="8"/>
      <c r="F37" s="57"/>
    </row>
    <row r="38" spans="1:8" x14ac:dyDescent="0.3">
      <c r="A38" s="68" t="s">
        <v>209</v>
      </c>
      <c r="D38" s="8"/>
      <c r="E38" s="8"/>
    </row>
    <row r="39" spans="1:8" x14ac:dyDescent="0.3">
      <c r="A39" t="s">
        <v>203</v>
      </c>
      <c r="D39" s="8"/>
      <c r="E39" s="8"/>
      <c r="F39">
        <f>'5) Ergebnis DB ausführlich'!D106</f>
        <v>13</v>
      </c>
      <c r="H39" t="s">
        <v>204</v>
      </c>
    </row>
    <row r="40" spans="1:8" x14ac:dyDescent="0.3">
      <c r="D40" s="8"/>
      <c r="E40" s="8"/>
    </row>
    <row r="41" spans="1:8" x14ac:dyDescent="0.3">
      <c r="A41" t="s">
        <v>155</v>
      </c>
      <c r="C41" t="s">
        <v>156</v>
      </c>
      <c r="E41" t="s">
        <v>191</v>
      </c>
    </row>
    <row r="42" spans="1:8" x14ac:dyDescent="0.3">
      <c r="A42" t="s">
        <v>168</v>
      </c>
      <c r="C42" s="8">
        <v>50</v>
      </c>
      <c r="D42" s="8">
        <v>100</v>
      </c>
      <c r="E42" s="66">
        <v>14</v>
      </c>
      <c r="F42" s="65">
        <f>D42*E42</f>
        <v>1400</v>
      </c>
      <c r="G42" s="65"/>
    </row>
    <row r="43" spans="1:8" x14ac:dyDescent="0.3">
      <c r="A43" t="s">
        <v>169</v>
      </c>
      <c r="D43" s="8">
        <v>1000</v>
      </c>
      <c r="E43" s="66">
        <v>3</v>
      </c>
      <c r="F43" s="65">
        <f>D43*E43</f>
        <v>3000</v>
      </c>
      <c r="G43" s="65"/>
    </row>
    <row r="44" spans="1:8" x14ac:dyDescent="0.3">
      <c r="A44" t="s">
        <v>157</v>
      </c>
      <c r="C44" s="8">
        <v>1000</v>
      </c>
      <c r="D44" s="8">
        <v>2500</v>
      </c>
      <c r="E44" s="67">
        <v>1</v>
      </c>
      <c r="F44" s="65">
        <f>D44*E44</f>
        <v>2500</v>
      </c>
      <c r="G44" s="65"/>
    </row>
    <row r="45" spans="1:8" x14ac:dyDescent="0.3">
      <c r="A45" t="s">
        <v>192</v>
      </c>
      <c r="D45" s="8">
        <v>30</v>
      </c>
      <c r="E45" s="67">
        <v>6</v>
      </c>
      <c r="F45" s="65">
        <f>D45*E45</f>
        <v>180</v>
      </c>
      <c r="G45" s="65"/>
    </row>
    <row r="46" spans="1:8" x14ac:dyDescent="0.3">
      <c r="A46" t="s">
        <v>207</v>
      </c>
      <c r="B46" s="8">
        <v>50</v>
      </c>
      <c r="C46" t="s">
        <v>205</v>
      </c>
      <c r="D46" s="67">
        <f>'5) Ergebnis DB ausführlich'!C45</f>
        <v>40</v>
      </c>
      <c r="E46" s="8" t="s">
        <v>121</v>
      </c>
      <c r="F46" s="23">
        <f>B46*D46</f>
        <v>2000</v>
      </c>
    </row>
    <row r="47" spans="1:8" x14ac:dyDescent="0.3">
      <c r="A47" t="s">
        <v>170</v>
      </c>
    </row>
    <row r="48" spans="1:8" x14ac:dyDescent="0.3">
      <c r="A48" t="s">
        <v>171</v>
      </c>
      <c r="D48" s="8">
        <v>4.5</v>
      </c>
      <c r="E48">
        <v>20</v>
      </c>
      <c r="F48" s="23">
        <f t="shared" ref="F48:F60" si="0">D48*E48</f>
        <v>90</v>
      </c>
      <c r="G48" s="23"/>
    </row>
    <row r="49" spans="1:7" x14ac:dyDescent="0.3">
      <c r="A49" t="s">
        <v>172</v>
      </c>
      <c r="D49">
        <v>4.75</v>
      </c>
      <c r="E49">
        <v>15</v>
      </c>
      <c r="F49" s="23">
        <f t="shared" si="0"/>
        <v>71.25</v>
      </c>
      <c r="G49" s="23"/>
    </row>
    <row r="50" spans="1:7" x14ac:dyDescent="0.3">
      <c r="A50" t="s">
        <v>174</v>
      </c>
      <c r="D50">
        <v>5.15</v>
      </c>
      <c r="E50">
        <v>15</v>
      </c>
      <c r="F50" s="23">
        <f t="shared" si="0"/>
        <v>77.25</v>
      </c>
      <c r="G50" s="23"/>
    </row>
    <row r="51" spans="1:7" x14ac:dyDescent="0.3">
      <c r="A51" t="s">
        <v>173</v>
      </c>
      <c r="D51">
        <v>4.95</v>
      </c>
      <c r="E51">
        <v>15</v>
      </c>
      <c r="F51" s="23">
        <f t="shared" si="0"/>
        <v>74.25</v>
      </c>
      <c r="G51" s="23"/>
    </row>
    <row r="52" spans="1:7" x14ac:dyDescent="0.3">
      <c r="A52" t="s">
        <v>194</v>
      </c>
      <c r="D52">
        <v>3.5</v>
      </c>
      <c r="E52">
        <v>10</v>
      </c>
      <c r="F52" s="23">
        <f t="shared" si="0"/>
        <v>35</v>
      </c>
      <c r="G52" s="23"/>
    </row>
    <row r="53" spans="1:7" x14ac:dyDescent="0.3">
      <c r="A53" t="s">
        <v>175</v>
      </c>
      <c r="D53">
        <v>3.2</v>
      </c>
      <c r="E53">
        <v>20</v>
      </c>
      <c r="F53" s="23">
        <f t="shared" si="0"/>
        <v>64</v>
      </c>
      <c r="G53" s="23"/>
    </row>
    <row r="54" spans="1:7" x14ac:dyDescent="0.3">
      <c r="A54" t="s">
        <v>176</v>
      </c>
      <c r="D54">
        <v>8</v>
      </c>
      <c r="E54">
        <v>20</v>
      </c>
      <c r="F54" s="23">
        <f t="shared" si="0"/>
        <v>160</v>
      </c>
      <c r="G54" s="23"/>
    </row>
    <row r="55" spans="1:7" x14ac:dyDescent="0.3">
      <c r="A55" t="s">
        <v>177</v>
      </c>
      <c r="D55">
        <v>3.79</v>
      </c>
      <c r="E55">
        <v>15</v>
      </c>
      <c r="F55" s="23">
        <f t="shared" si="0"/>
        <v>56.85</v>
      </c>
      <c r="G55" s="23"/>
    </row>
    <row r="56" spans="1:7" x14ac:dyDescent="0.3">
      <c r="A56" t="s">
        <v>178</v>
      </c>
      <c r="D56">
        <v>14.5</v>
      </c>
      <c r="E56">
        <v>5</v>
      </c>
      <c r="F56" s="23">
        <f t="shared" si="0"/>
        <v>72.5</v>
      </c>
      <c r="G56" s="23"/>
    </row>
    <row r="57" spans="1:7" x14ac:dyDescent="0.3">
      <c r="A57" t="s">
        <v>181</v>
      </c>
      <c r="D57">
        <v>11.9</v>
      </c>
      <c r="E57">
        <v>5</v>
      </c>
      <c r="F57" s="23">
        <f t="shared" si="0"/>
        <v>59.5</v>
      </c>
      <c r="G57" s="23"/>
    </row>
    <row r="58" spans="1:7" x14ac:dyDescent="0.3">
      <c r="A58" t="s">
        <v>179</v>
      </c>
      <c r="D58">
        <v>10.9</v>
      </c>
      <c r="E58">
        <v>5</v>
      </c>
      <c r="F58" s="23">
        <f t="shared" si="0"/>
        <v>54.5</v>
      </c>
      <c r="G58" s="23"/>
    </row>
    <row r="59" spans="1:7" x14ac:dyDescent="0.3">
      <c r="A59" t="s">
        <v>180</v>
      </c>
      <c r="D59">
        <v>10.9</v>
      </c>
      <c r="E59">
        <v>5</v>
      </c>
      <c r="F59" s="23">
        <f t="shared" si="0"/>
        <v>54.5</v>
      </c>
      <c r="G59" s="23"/>
    </row>
    <row r="60" spans="1:7" x14ac:dyDescent="0.3">
      <c r="A60" t="s">
        <v>182</v>
      </c>
      <c r="D60">
        <v>6.49</v>
      </c>
      <c r="E60">
        <v>5</v>
      </c>
      <c r="F60" s="23">
        <f t="shared" si="0"/>
        <v>32.450000000000003</v>
      </c>
      <c r="G60" s="23"/>
    </row>
    <row r="61" spans="1:7" x14ac:dyDescent="0.3">
      <c r="F61" s="23"/>
      <c r="G61" s="23"/>
    </row>
    <row r="62" spans="1:7" x14ac:dyDescent="0.3">
      <c r="A62" t="s">
        <v>183</v>
      </c>
      <c r="F62" s="23"/>
      <c r="G62" s="23"/>
    </row>
    <row r="63" spans="1:7" x14ac:dyDescent="0.3">
      <c r="A63" t="s">
        <v>184</v>
      </c>
      <c r="D63">
        <v>2.35</v>
      </c>
      <c r="E63">
        <v>20</v>
      </c>
      <c r="F63" s="23">
        <f>D63*E63</f>
        <v>47</v>
      </c>
      <c r="G63" s="23"/>
    </row>
    <row r="64" spans="1:7" x14ac:dyDescent="0.3">
      <c r="A64" t="s">
        <v>185</v>
      </c>
      <c r="D64">
        <v>2.75</v>
      </c>
      <c r="E64">
        <v>20</v>
      </c>
      <c r="F64" s="23">
        <f>D64*E64</f>
        <v>55</v>
      </c>
      <c r="G64" s="23"/>
    </row>
    <row r="65" spans="1:8" x14ac:dyDescent="0.3">
      <c r="A65" t="s">
        <v>186</v>
      </c>
      <c r="D65">
        <v>3.45</v>
      </c>
      <c r="E65">
        <v>20</v>
      </c>
      <c r="F65" s="23">
        <f>D65*E65</f>
        <v>69</v>
      </c>
      <c r="G65" s="23"/>
    </row>
    <row r="66" spans="1:8" x14ac:dyDescent="0.3">
      <c r="A66" t="s">
        <v>187</v>
      </c>
      <c r="D66">
        <v>2.35</v>
      </c>
      <c r="E66">
        <v>20</v>
      </c>
      <c r="F66" s="23">
        <f>D66*E66</f>
        <v>47</v>
      </c>
      <c r="G66" s="23"/>
    </row>
    <row r="67" spans="1:8" x14ac:dyDescent="0.3">
      <c r="F67" s="23"/>
      <c r="G67" s="23"/>
    </row>
    <row r="68" spans="1:8" x14ac:dyDescent="0.3">
      <c r="A68" t="s">
        <v>188</v>
      </c>
      <c r="F68" s="23"/>
      <c r="G68" s="23"/>
    </row>
    <row r="69" spans="1:8" x14ac:dyDescent="0.3">
      <c r="A69" t="s">
        <v>189</v>
      </c>
      <c r="D69">
        <v>1.35</v>
      </c>
      <c r="E69">
        <v>20</v>
      </c>
      <c r="F69" s="23">
        <f>D69*E69</f>
        <v>27</v>
      </c>
      <c r="G69" s="23"/>
    </row>
    <row r="70" spans="1:8" x14ac:dyDescent="0.3">
      <c r="A70" t="s">
        <v>190</v>
      </c>
      <c r="D70">
        <v>1.49</v>
      </c>
      <c r="E70">
        <v>20</v>
      </c>
      <c r="F70" s="23">
        <f>D70*E70</f>
        <v>29.8</v>
      </c>
      <c r="G70" s="23"/>
    </row>
    <row r="73" spans="1:8" x14ac:dyDescent="0.3">
      <c r="F73" s="320">
        <f>SUM(F42:F70)</f>
        <v>10256.85</v>
      </c>
      <c r="G73" s="23">
        <f>F73/F39</f>
        <v>788.98846153846159</v>
      </c>
      <c r="H73" t="s">
        <v>213</v>
      </c>
    </row>
    <row r="76" spans="1:8" x14ac:dyDescent="0.3">
      <c r="A76" s="306" t="s">
        <v>294</v>
      </c>
      <c r="B76" s="318"/>
      <c r="C76" s="318"/>
      <c r="D76" s="318"/>
      <c r="E76" s="318"/>
      <c r="F76" s="319">
        <f>F73+F36</f>
        <v>25256.85</v>
      </c>
    </row>
    <row r="80" spans="1:8" x14ac:dyDescent="0.3">
      <c r="A80" s="90" t="s">
        <v>300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Information</vt:lpstr>
      <vt:lpstr>1) Wareneinsatz</vt:lpstr>
      <vt:lpstr>Preiskalkulation</vt:lpstr>
      <vt:lpstr>2) Angaben DB</vt:lpstr>
      <vt:lpstr>3) Ergebnis DB kurz</vt:lpstr>
      <vt:lpstr>4) DB Grafik</vt:lpstr>
      <vt:lpstr>5) Ergebnis DB ausführlich</vt:lpstr>
      <vt:lpstr>Datengrundlage Investition</vt:lpstr>
      <vt:lpstr>'4) DB Grafik'!Druckbereich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Saller, Julia (LfL)</dc:creator>
  <cp:lastModifiedBy>Saller, Julia (LfL)</cp:lastModifiedBy>
  <cp:lastPrinted>2021-12-10T08:17:48Z</cp:lastPrinted>
  <dcterms:created xsi:type="dcterms:W3CDTF">2021-01-22T13:05:41Z</dcterms:created>
  <dcterms:modified xsi:type="dcterms:W3CDTF">2024-07-11T13:15:27Z</dcterms:modified>
</cp:coreProperties>
</file>